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Assumptions" sheetId="2" state="visible" r:id="rId2"/>
    <sheet name="Sources and uses" sheetId="3" state="visible" r:id="rId3"/>
    <sheet name="Equity injection" sheetId="4" state="visible" r:id="rId4"/>
    <sheet name="SBA fee calculation" sheetId="5" state="visible" r:id="rId5"/>
    <sheet name="Senior debt amortization" sheetId="6" state="visible" r:id="rId6"/>
    <sheet name="Seller debt" sheetId="7" state="visible" r:id="rId7"/>
    <sheet name="Operating forecast" sheetId="8" state="visible" r:id="rId8"/>
    <sheet name="Cash taxes" sheetId="9" state="visible" r:id="rId9"/>
    <sheet name="Cash flow waterfall" sheetId="10" state="visible" r:id="rId10"/>
    <sheet name="Debt service coverage" sheetId="11" state="visible" r:id="rId11"/>
    <sheet name="Liquidity analysis" sheetId="12" state="visible" r:id="rId12"/>
    <sheet name="Downside scenarios" sheetId="13" state="visible" r:id="rId13"/>
    <sheet name="Exit valuation" sheetId="14" state="visible" r:id="rId14"/>
    <sheet name="Equity returns" sheetId="15" state="visible" r:id="rId15"/>
    <sheet name="Model checks" sheetId="16" state="visible" r:id="rId16"/>
  </sheets>
  <definedNames>
    <definedName name="_xlnm._FilterDatabase" localSheetId="0" hidden="1">'Instructions'!$A$4:$G$15</definedName>
    <definedName name="_xlnm._FilterDatabase" localSheetId="1" hidden="1">'Assumptions'!$A$4:$G$31</definedName>
    <definedName name="_xlnm._FilterDatabase" localSheetId="2" hidden="1">'Sources and uses'!$A$4:$G$12</definedName>
    <definedName name="_xlnm._FilterDatabase" localSheetId="3" hidden="1">'Equity injection'!$A$4:$G$8</definedName>
    <definedName name="_xlnm._FilterDatabase" localSheetId="4" hidden="1">'SBA fee calculation'!$A$4:$G$9</definedName>
    <definedName name="_xlnm._FilterDatabase" localSheetId="5" hidden="1">'Senior debt amortization'!$A$4:$G$124</definedName>
    <definedName name="_xlnm._FilterDatabase" localSheetId="6" hidden="1">'Seller debt'!$A$4:$G$9</definedName>
    <definedName name="_xlnm._FilterDatabase" localSheetId="7" hidden="1">'Operating forecast'!$A$4:$G$7</definedName>
    <definedName name="_xlnm._FilterDatabase" localSheetId="8" hidden="1">'Cash taxes'!$A$4:$G$7</definedName>
    <definedName name="_xlnm._FilterDatabase" localSheetId="9" hidden="1">'Cash flow waterfall'!$A$4:$G$7</definedName>
    <definedName name="_xlnm._FilterDatabase" localSheetId="10" hidden="1">'Debt service coverage'!$A$4:$G$7</definedName>
    <definedName name="_xlnm._FilterDatabase" localSheetId="11" hidden="1">'Liquidity analysis'!$A$4:$G$7</definedName>
    <definedName name="_xlnm._FilterDatabase" localSheetId="12" hidden="1">'Downside scenarios'!$A$4:$G$11</definedName>
    <definedName name="_xlnm._FilterDatabase" localSheetId="13" hidden="1">'Exit valuation'!$A$4:$G$10</definedName>
    <definedName name="_xlnm._FilterDatabase" localSheetId="14" hidden="1">'Equity returns'!$A$4:$G$7</definedName>
    <definedName name="_xlnm._FilterDatabase" localSheetId="15" hidden="1">'Model checks'!$A$4:$G$11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;[Red](#,##0.00);–"/>
    <numFmt numFmtId="165" formatCode="0.0000&quot;x&quot;"/>
    <numFmt numFmtId="166" formatCode="0.000000"/>
  </numFmts>
  <fonts count="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color rgb="000000FF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9334D"/>
      </patternFill>
    </fill>
    <fill>
      <patternFill patternType="solid">
        <fgColor rgb="00365C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1" fillId="0" borderId="0" pivotButton="0" quotePrefix="0" xfId="0"/>
    <xf numFmtId="164" fontId="2" fillId="2" borderId="0" applyProtection="1" pivotButton="0" quotePrefix="0" xfId="0">
      <protection locked="0" hidden="0"/>
    </xf>
    <xf numFmtId="10" fontId="2" fillId="2" borderId="0" applyProtection="1" pivotButton="0" quotePrefix="0" xfId="0">
      <protection locked="0" hidden="0"/>
    </xf>
    <xf numFmtId="164" fontId="1" fillId="0" borderId="0" pivotButton="0" quotePrefix="0" xfId="0"/>
    <xf numFmtId="10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1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Instructions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Case</s:t>
        </s:is>
      </s:c>
      <s:c r="B5" s="3" t="inlineStr">
        <s:is>
          <s:t>Precision Valve &amp; Actuator — fictional educational inputs</s:t>
        </s:is>
      </s:c>
    </s:row>
    <s:row r="6">
      <s:c r="A6" t="inlineStr">
        <s:is>
          <s:t>Units</s:t>
        </s:is>
      </s:c>
      <s:c r="B6" s="3" t="inlineStr">
        <s:is>
          <s:t>USD</s:t>
        </s:is>
      </s:c>
    </s:row>
    <s:row r="7">
      <s:c r="A7" t="inlineStr">
        <s:is>
          <s:t>Date</s:t>
        </s:is>
      </s:c>
      <s:c r="B7" s="3" t="inlineStr">
        <s:is>
          <s:t>2026-11-05</s:t>
        </s:is>
      </s:c>
    </s:row>
    <s:row r="8">
      <s:c r="A8" t="inlineStr">
        <s:is>
          <s:t>Mode</s:t>
        </s:is>
      </s:c>
      <s:c r="B8" s="3" t="inlineStr">
        <s:is>
          <s:t>Instructor solution</s:t>
        </s:is>
      </s:c>
    </s:row>
    <s:row r="9">
      <s:c r="A9" t="inlineStr">
        <s:is>
          <s:t>Colors</s:t>
        </s:is>
      </s:c>
      <s:c r="B9" s="3" t="inlineStr">
        <s:is>
          <s:t>Blue = input; black = formula. No external links.</s:t>
        </s:is>
      </s:c>
    </s:row>
    <s:row r="10">
      <s:c r="A10" t="inlineStr">
        <s:is>
          <s:t>Protection</s:t>
        </s:is>
      </s:c>
      <s:c r="B10" s="3" t="inlineStr">
        <s:is>
          <s:t>Inputs editable; formulas locked. Unprotect without password for study; not security.</s:t>
        </s:is>
      </s:c>
    </s:row>
    <s:row r="11">
      <s:c r="A11" t="inlineStr">
        <s:is>
          <s:t>Method</s:t>
        </s:is>
      </s:c>
      <s:c r="B11" s="3" t="inlineStr">
        <s:is>
          <s:t>Year-end annual cash flows; retain precision. Read each sheet before editing.</s:t>
        </s:is>
      </s:c>
    </s:row>
    <s:row r="12">
      <s:c r="A12" t="inlineStr">
        <s:is>
          <s:t>Scenario</s:t>
        </s:is>
      </s:c>
      <s:c r="B12" s="3" t="inlineStr">
        <s:is>
          <s:t>Where supplied, scenario 0 = base and 1 = downside. Change input, predict outcome, inspect checks.</s:t>
        </s:is>
      </s:c>
    </s:row>
    <s:row r="13">
      <s:c r="A13" t="inlineStr">
        <s:is>
          <s:t>Learner task</s:t>
        </s:is>
      </s:c>
      <s:c r="B13" s="3" t="inlineStr">
        <s:is>
          <s:t>Replace yellow blank formula cells using linked assumptions and the course instructions.</s:t>
        </s:is>
      </s:c>
    </s:row>
    <s:row r="14">
      <s:c r="A14" t="inlineStr">
        <s:is>
          <s:t>Recalculation</s:t>
        </s:is>
      </s:c>
      <s:c r="B14" s="3" t="inlineStr">
        <s:is>
          <s:t>Run scripts/recalculate_workbooks.py after generation. Formula-engine results and native-engine limits: audit/workbook_validation.json.</s:t>
        </s:is>
      </s:c>
    </s:row>
    <s:row r="15">
      <s:c r="A15" t="inlineStr">
        <s:is>
          <s:t>Policy</s:t>
        </s:is>
      </s:c>
      <s:c r="B15" s="3" t="inlineStr">
        <s:is>
          <s:t>Fictional case, not a lender commitment or legal compliance certificate.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5"/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G31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Assumptions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Purchase EV</s:t>
        </s:is>
      </s:c>
      <s:c r="B5" s="4" t="n">
        <s:v>5000000</s:v>
      </s:c>
    </s:row>
    <s:row r="6">
      <s:c r="A6" t="inlineStr">
        <s:is>
          <s:t>Legal</s:t>
        </s:is>
      </s:c>
      <s:c r="B6" s="4" t="n">
        <s:v>100000</s:v>
      </s:c>
    </s:row>
    <s:row r="7">
      <s:c r="A7" t="inlineStr">
        <s:is>
          <s:t>Diligence</s:t>
        </s:is>
      </s:c>
      <s:c r="B7" s="4" t="n">
        <s:v>50000</s:v>
      </s:c>
    </s:row>
    <s:row r="8">
      <s:c r="A8" t="inlineStr">
        <s:is>
          <s:t>Other fees</s:t>
        </s:is>
      </s:c>
      <s:c r="B8" s="4" t="n">
        <s:v>40000</s:v>
      </s:c>
    </s:row>
    <s:row r="9">
      <s:c r="A9" t="inlineStr">
        <s:is>
          <s:t>Opening cash</s:t>
        </s:is>
      </s:c>
      <s:c r="B9" s="4" t="n">
        <s:v>200000</s:v>
      </s:c>
    </s:row>
    <s:row r="10">
      <s:c r="A10" t="inlineStr">
        <s:is>
          <s:t>Closing NWC</s:t>
        </s:is>
      </s:c>
      <s:c r="B10" s="4" t="n">
        <s:v>100000</s:v>
      </s:c>
    </s:row>
    <s:row r="11">
      <s:c r="A11" t="inlineStr">
        <s:is>
          <s:t>Senior debt</s:t>
        </s:is>
      </s:c>
      <s:c r="B11" s="4" t="n">
        <s:v>4000000</s:v>
      </s:c>
    </s:row>
    <s:row r="12">
      <s:c r="A12" t="inlineStr">
        <s:is>
          <s:t>Seller note</s:t>
        </s:is>
      </s:c>
      <s:c r="B12" s="4" t="n">
        <s:v>400000</s:v>
      </s:c>
    </s:row>
    <s:row r="13">
      <s:c r="A13" t="inlineStr">
        <s:is>
          <s:t>Annual rate</s:t>
        </s:is>
      </s:c>
      <s:c r="B13" s="5" t="n">
        <s:v>0.1</s:v>
      </s:c>
    </s:row>
    <s:row r="14">
      <s:c r="A14" t="inlineStr">
        <s:is>
          <s:t>Months</s:t>
        </s:is>
      </s:c>
      <s:c r="B14" s="4" t="n">
        <s:v>120</s:v>
      </s:c>
    </s:row>
    <s:row r="15">
      <s:c r="A15" t="inlineStr">
        <s:is>
          <s:t>Guarantee</s:t>
        </s:is>
      </s:c>
      <s:c r="B15" s="5" t="n">
        <s:v>0.75</s:v>
      </s:c>
    </s:row>
    <s:row r="16">
      <s:c r="A16" t="inlineStr">
        <s:is>
          <s:t>Minimum injection</s:t>
        </s:is>
      </s:c>
      <s:c r="B16" s="5" t="n">
        <s:v>0.1</s:v>
      </s:c>
    </s:row>
    <s:row r="17">
      <s:c r="A17" t="inlineStr">
        <s:is>
          <s:t>Tax</s:t>
        </s:is>
      </s:c>
      <s:c r="B17" s="5" t="n">
        <s:v>0.25</s:v>
      </s:c>
    </s:row>
    <s:row r="18">
      <s:c r="A18" t="inlineStr">
        <s:is>
          <s:t>Revenue</s:t>
        </s:is>
      </s:c>
      <s:c r="B18" s="4" t="n">
        <s:v>8000000</s:v>
      </s:c>
    </s:row>
    <s:row r="19">
      <s:c r="A19" t="inlineStr">
        <s:is>
          <s:t>Variable cost ratio</s:t>
        </s:is>
      </s:c>
      <s:c r="B19" s="5" t="n">
        <s:v>0.55</s:v>
      </s:c>
    </s:row>
    <s:row r="20">
      <s:c r="A20" t="inlineStr">
        <s:is>
          <s:t>Fixed costs</s:t>
        </s:is>
      </s:c>
      <s:c r="B20" s="4" t="n">
        <s:v>2200000</s:v>
      </s:c>
    </s:row>
    <s:row r="21">
      <s:c r="A21" t="inlineStr">
        <s:is>
          <s:t>Growth</s:t>
        </s:is>
      </s:c>
      <s:c r="B21" s="5" t="n">
        <s:v>0.03</s:v>
      </s:c>
    </s:row>
    <s:row r="22">
      <s:c r="A22" t="inlineStr">
        <s:is>
          <s:t>DA</s:t>
        </s:is>
      </s:c>
      <s:c r="B22" s="4" t="n">
        <s:v>200000</s:v>
      </s:c>
    </s:row>
    <s:row r="23">
      <s:c r="A23" t="inlineStr">
        <s:is>
          <s:t>Maintenance CapEx</s:t>
        </s:is>
      </s:c>
      <s:c r="B23" s="4" t="n">
        <s:v>200000</s:v>
      </s:c>
    </s:row>
    <s:row r="24">
      <s:c r="A24" t="inlineStr">
        <s:is>
          <s:t>Annual NWC</s:t>
        </s:is>
      </s:c>
      <s:c r="B24" s="4" t="n">
        <s:v>50000</s:v>
      </s:c>
    </s:row>
    <s:row r="25">
      <s:c r="A25" t="inlineStr">
        <s:is>
          <s:t>Exit multiple</s:t>
        </s:is>
      </s:c>
      <s:c r="B25" s="4" t="n">
        <s:v>4</s:v>
      </s:c>
    </s:row>
    <s:row r="26">
      <s:c r="A26" t="inlineStr">
        <s:is>
          <s:t>Exit fee</s:t>
        </s:is>
      </s:c>
      <s:c r="B26" s="5" t="n">
        <s:v>0.03</s:v>
      </s:c>
    </s:row>
    <s:row r="27">
      <s:c r="A27" t="inlineStr">
        <s:is>
          <s:t>Cash covenant</s:t>
        </s:is>
      </s:c>
      <s:c r="B27" s="4" t="n">
        <s:v>1.25</s:v>
      </s:c>
    </s:row>
    <s:row r="28">
      <s:c r="A28" t="inlineStr">
        <s:is>
          <s:t>Minimum cash</s:t>
        </s:is>
      </s:c>
      <s:c r="B28" s="4" t="n">
        <s:v>200000</s:v>
      </s:c>
    </s:row>
    <s:row r="29">
      <s:c r="A29" t="inlineStr">
        <s:is>
          <s:t>Shock revenue loss</s:t>
        </s:is>
      </s:c>
      <s:c r="B29" s="5" t="n">
        <s:v>0</s:v>
      </s:c>
    </s:row>
    <s:row r="30">
      <s:c r="A30" t="inlineStr">
        <s:is>
          <s:t>Rate stress</s:t>
        </s:is>
      </s:c>
      <s:c r="B30" s="5" t="n">
        <s:v>0.12</s:v>
      </s:c>
    </s:row>
    <s:row r="31">
      <s:c r="A31" t="inlineStr">
        <s:is>
          <s:t>Reset after Year 1</s:t>
        </s:is>
      </s:c>
      <s:c r="B31" s="4" t="n">
        <s:v>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31"/>
  <s:pageMargins left="0.75" right="0.75" top="1" bottom="1" header="0.5" footer="0.5"/>
</s: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G12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Sources and uses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Purchase</s:t>
        </s:is>
      </s:c>
      <s:c r="B5" s="6">
        <s:f>'Assumptions'!B5</s:f>
        <s:v>5000000.0</s:v>
      </s:c>
    </s:row>
    <s:row r="6">
      <s:c r="A6" t="inlineStr">
        <s:is>
          <s:t>Fees</s:t>
        </s:is>
      </s:c>
      <s:c r="B6" s="6">
        <s:f>'Assumptions'!B6+'Assumptions'!B7+'Assumptions'!B8+'SBA fee calculation'!B8</s:f>
        <s:v>300000.0</s:v>
      </s:c>
    </s:row>
    <s:row r="7">
      <s:c r="A7" t="inlineStr">
        <s:is>
          <s:t>Closing cash and NWC</s:t>
        </s:is>
      </s:c>
      <s:c r="B7" s="6">
        <s:f>'Assumptions'!B9+'Assumptions'!B10</s:f>
        <s:v>300000.0</s:v>
      </s:c>
    </s:row>
    <s:row r="8">
      <s:c r="A8" t="inlineStr">
        <s:is>
          <s:t>Uses</s:t>
        </s:is>
      </s:c>
      <s:c r="B8" s="6">
        <s:f>SUM(B5:B7)</s:f>
        <s:v>5600000.0</s:v>
      </s:c>
    </s:row>
    <s:row r="9">
      <s:c r="A9" t="inlineStr">
        <s:is>
          <s:t>Senior</s:t>
        </s:is>
      </s:c>
      <s:c r="B9" s="6">
        <s:f>'Assumptions'!B11</s:f>
        <s:v>4000000.0</s:v>
      </s:c>
    </s:row>
    <s:row r="10">
      <s:c r="A10" t="inlineStr">
        <s:is>
          <s:t>Seller</s:t>
        </s:is>
      </s:c>
      <s:c r="B10" s="6">
        <s:f>'Assumptions'!B12</s:f>
        <s:v>400000.0</s:v>
      </s:c>
    </s:row>
    <s:row r="11">
      <s:c r="A11" t="inlineStr">
        <s:is>
          <s:t>Sponsor equity</s:t>
        </s:is>
      </s:c>
      <s:c r="B11" s="6">
        <s:f>B8-B9-B10</s:f>
        <s:v>1200000.0</s:v>
      </s:c>
    </s:row>
    <s:row r="12">
      <s:c r="A12" t="inlineStr">
        <s:is>
          <s:t>Sources</s:t>
        </s:is>
      </s:c>
      <s:c r="B12" s="6">
        <s:f>SUM(B9:B11)</s:f>
        <s:v>5600000.0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2"/>
  <s:pageMargins left="0.75" right="0.75" top="1" bottom="1" header="0.5" footer="0.5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G8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Equity injection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Required</s:t>
        </s:is>
      </s:c>
      <s:c r="B5" s="6">
        <s:f>'Sources and uses'!B8*'Assumptions'!B16</s:f>
        <s:v>560000.0</s:v>
      </s:c>
    </s:row>
    <s:row r="6">
      <s:c r="A6" t="inlineStr">
        <s:is>
          <s:t>Limited-source cap</s:t>
        </s:is>
      </s:c>
      <s:c r="B6" s="6">
        <s:f>B5/2</s:f>
        <s:v>280000.0</s:v>
      </s:c>
    </s:row>
    <s:row r="7">
      <s:c r="A7" t="inlineStr">
        <s:is>
          <s:t>Cash contributed</s:t>
        </s:is>
      </s:c>
      <s:c r="B7" s="6">
        <s:f>'Sources and uses'!B11</s:f>
        <s:v>1200000.0</s:v>
      </s:c>
    </s:row>
    <s:row r="8">
      <s:c r="A8" t="inlineStr">
        <s:is>
          <s:t>Cash-only shortfall</s:t>
        </s:is>
      </s:c>
      <s:c r="B8" s="6">
        <s:f>MAX(0,B5-B7)</s:f>
        <s:v>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8"/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G9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SBA fee calculation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Guaranteed amount</s:t>
        </s:is>
      </s:c>
      <s:c r="B5" s="6">
        <s:f>'Assumptions'!B11*'Assumptions'!B15</s:f>
        <s:v>3000000.0</s:v>
      </s:c>
    </s:row>
    <s:row r="6">
      <s:c r="A6" t="inlineStr">
        <s:is>
          <s:t>First bracket</s:t>
        </s:is>
      </s:c>
      <s:c r="B6" s="6">
        <s:f>MIN(B5,1000000)*0.035</s:f>
        <s:v>35000.0</s:v>
      </s:c>
    </s:row>
    <s:row r="7">
      <s:c r="A7" t="inlineStr">
        <s:is>
          <s:t>Excess bracket</s:t>
        </s:is>
      </s:c>
      <s:c r="B7" s="6">
        <s:f>MAX(0,B5-1000000)*0.0375</s:f>
        <s:v>75000.0</s:v>
      </s:c>
    </s:row>
    <s:row r="8">
      <s:c r="A8" t="inlineStr">
        <s:is>
          <s:t>Upfront fee</s:t>
        </s:is>
      </s:c>
      <s:c r="B8" s="6">
        <s:f>SUM(B6:B7)</s:f>
        <s:v>110000.0</s:v>
      </s:c>
    </s:row>
    <s:row r="9">
      <s:c r="A9" t="inlineStr">
        <s:is>
          <s:t>Lender annual fee not passed through</s:t>
        </s:is>
      </s:c>
      <s:c r="B9" s="3" t="inlineStr">
        <s:is>
          <s:t>Not a borrower fee; this is the FY2027 large standard-loan case, no exception assumed.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9"/>
  <s:pageMargins left="0.75" right="0.75" top="1" bottom="1" header="0.5" footer="0.5"/>
</s: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G124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Senior debt amortization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Month</s:t>
        </s:is>
      </s:c>
      <s:c r="B4" s="2" t="inlineStr">
        <s:is>
          <s:t>Beginning balance</s:t>
        </s:is>
      </s:c>
      <s:c r="C4" s="2" t="inlineStr">
        <s:is>
          <s:t>Rate</s:t>
        </s:is>
      </s:c>
      <s:c r="D4" s="2" t="inlineStr">
        <s:is>
          <s:t>Interest</s:t>
        </s:is>
      </s:c>
      <s:c r="E4" s="2" t="inlineStr">
        <s:is>
          <s:t>Payment</s:t>
        </s:is>
      </s:c>
      <s:c r="F4" s="2" t="inlineStr">
        <s:is>
          <s:t>Principal</s:t>
        </s:is>
      </s:c>
      <s:c r="G4" s="2" t="inlineStr">
        <s:is>
          <s:t>Ending balance</s:t>
        </s:is>
      </s:c>
    </s:row>
    <s:row r="5">
      <s:c r="A5" s="6">
        <s:f>ROW()-4</s:f>
        <s:v>1.0</s:v>
      </s:c>
      <s:c r="B5" s="6">
        <s:f>'Assumptions'!B11</s:f>
        <s:v>4000000.0</s:v>
      </s:c>
      <s:c r="C5" s="7">
        <s:f>IF(AND(A5&gt;12,'Assumptions'!B31=1),'Assumptions'!B30/12,'Assumptions'!B13/12)</s:f>
        <s:v>0.008333333333333333</s:v>
      </s:c>
      <s:c r="D5" s="6">
        <s:f>B5*C5</s:f>
        <s:v>33333.333333333336</s:v>
      </s:c>
      <s:c r="E5" s="6">
        <s:f>IF(AND(A5&gt;12,'Assumptions'!B31=1),IF(A5=13,-PMT('Assumptions'!B30/12,'Assumptions'!B14-12,B5),E4),-PMT('Assumptions'!B13/12,'Assumptions'!B14,'Assumptions'!B11))</s:f>
        <s:v>52860.294752704765</s:v>
      </s:c>
      <s:c r="F5" s="6">
        <s:f>MIN(B5,E5-D5)</s:f>
        <s:v>19526.96141937143</s:v>
      </s:c>
      <s:c r="G5" s="6">
        <s:f>MAX(0,B5-F5)</s:f>
        <s:v>3980473.0385806286</s:v>
      </s:c>
    </s:row>
    <s:row r="6">
      <s:c r="A6" s="6">
        <s:f>ROW()-4</s:f>
        <s:v>2.0</s:v>
      </s:c>
      <s:c r="B6" s="6">
        <s:f>G5</s:f>
        <s:v>3980473.0385806286</s:v>
      </s:c>
      <s:c r="C6" s="7">
        <s:f>IF(AND(A6&gt;12,'Assumptions'!B31=1),'Assumptions'!B30/12,'Assumptions'!B13/12)</s:f>
        <s:v>0.008333333333333333</s:v>
      </s:c>
      <s:c r="D6" s="6">
        <s:f>B6*C6</s:f>
        <s:v>33170.60865483857</s:v>
      </s:c>
      <s:c r="E6" s="6">
        <s:f>IF(AND(A6&gt;12,'Assumptions'!B31=1),IF(A6=13,-PMT('Assumptions'!B30/12,'Assumptions'!B14-12,B6),E5),-PMT('Assumptions'!B13/12,'Assumptions'!B14,'Assumptions'!B11))</s:f>
        <s:v>52860.294752704765</s:v>
      </s:c>
      <s:c r="F6" s="6">
        <s:f>MIN(B6,E6-D6)</s:f>
        <s:v>19689.686097866193</s:v>
      </s:c>
      <s:c r="G6" s="6">
        <s:f>MAX(0,B6-F6)</s:f>
        <s:v>3960783.352482762</s:v>
      </s:c>
    </s:row>
    <s:row r="7">
      <s:c r="A7" s="6">
        <s:f>ROW()-4</s:f>
        <s:v>3.0</s:v>
      </s:c>
      <s:c r="B7" s="6">
        <s:f>G6</s:f>
        <s:v>3960783.352482762</s:v>
      </s:c>
      <s:c r="C7" s="7">
        <s:f>IF(AND(A7&gt;12,'Assumptions'!B31=1),'Assumptions'!B30/12,'Assumptions'!B13/12)</s:f>
        <s:v>0.008333333333333333</s:v>
      </s:c>
      <s:c r="D7" s="6">
        <s:f>B7*C7</s:f>
        <s:v>33006.52793735635</s:v>
      </s:c>
      <s:c r="E7" s="6">
        <s:f>IF(AND(A7&gt;12,'Assumptions'!B31=1),IF(A7=13,-PMT('Assumptions'!B30/12,'Assumptions'!B14-12,B7),E6),-PMT('Assumptions'!B13/12,'Assumptions'!B14,'Assumptions'!B11))</s:f>
        <s:v>52860.294752704765</s:v>
      </s:c>
      <s:c r="F7" s="6">
        <s:f>MIN(B7,E7-D7)</s:f>
        <s:v>19853.766815348412</s:v>
      </s:c>
      <s:c r="G7" s="6">
        <s:f>MAX(0,B7-F7)</s:f>
        <s:v>3940929.5856674137</s:v>
      </s:c>
    </s:row>
    <s:row r="8">
      <s:c r="A8" s="6">
        <s:f>ROW()-4</s:f>
        <s:v>4.0</s:v>
      </s:c>
      <s:c r="B8" s="6">
        <s:f>G7</s:f>
        <s:v>3940929.5856674137</s:v>
      </s:c>
      <s:c r="C8" s="7">
        <s:f>IF(AND(A8&gt;12,'Assumptions'!B31=1),'Assumptions'!B30/12,'Assumptions'!B13/12)</s:f>
        <s:v>0.008333333333333333</s:v>
      </s:c>
      <s:c r="D8" s="6">
        <s:f>B8*C8</s:f>
        <s:v>32841.07988056178</s:v>
      </s:c>
      <s:c r="E8" s="6">
        <s:f>IF(AND(A8&gt;12,'Assumptions'!B31=1),IF(A8=13,-PMT('Assumptions'!B30/12,'Assumptions'!B14-12,B8),E7),-PMT('Assumptions'!B13/12,'Assumptions'!B14,'Assumptions'!B11))</s:f>
        <s:v>52860.294752704765</s:v>
      </s:c>
      <s:c r="F8" s="6">
        <s:f>MIN(B8,E8-D8)</s:f>
        <s:v>20019.214872142984</s:v>
      </s:c>
      <s:c r="G8" s="6">
        <s:f>MAX(0,B8-F8)</s:f>
        <s:v>3920910.370795271</s:v>
      </s:c>
    </s:row>
    <s:row r="9">
      <s:c r="A9" s="6">
        <s:f>ROW()-4</s:f>
        <s:v>5.0</s:v>
      </s:c>
      <s:c r="B9" s="6">
        <s:f>G8</s:f>
        <s:v>3920910.370795271</s:v>
      </s:c>
      <s:c r="C9" s="7">
        <s:f>IF(AND(A9&gt;12,'Assumptions'!B31=1),'Assumptions'!B30/12,'Assumptions'!B13/12)</s:f>
        <s:v>0.008333333333333333</s:v>
      </s:c>
      <s:c r="D9" s="6">
        <s:f>B9*C9</s:f>
        <s:v>32674.25308996059</s:v>
      </s:c>
      <s:c r="E9" s="6">
        <s:f>IF(AND(A9&gt;12,'Assumptions'!B31=1),IF(A9=13,-PMT('Assumptions'!B30/12,'Assumptions'!B14-12,B9),E8),-PMT('Assumptions'!B13/12,'Assumptions'!B14,'Assumptions'!B11))</s:f>
        <s:v>52860.294752704765</s:v>
      </s:c>
      <s:c r="F9" s="6">
        <s:f>MIN(B9,E9-D9)</s:f>
        <s:v>20186.041662744174</s:v>
      </s:c>
      <s:c r="G9" s="6">
        <s:f>MAX(0,B9-F9)</s:f>
        <s:v>3900724.3291325266</s:v>
      </s:c>
    </s:row>
    <s:row r="10">
      <s:c r="A10" s="6">
        <s:f>ROW()-4</s:f>
        <s:v>6.0</s:v>
      </s:c>
      <s:c r="B10" s="6">
        <s:f>G9</s:f>
        <s:v>3900724.3291325266</s:v>
      </s:c>
      <s:c r="C10" s="7">
        <s:f>IF(AND(A10&gt;12,'Assumptions'!B31=1),'Assumptions'!B30/12,'Assumptions'!B13/12)</s:f>
        <s:v>0.008333333333333333</s:v>
      </s:c>
      <s:c r="D10" s="6">
        <s:f>B10*C10</s:f>
        <s:v>32506.03607610439</s:v>
      </s:c>
      <s:c r="E10" s="6">
        <s:f>IF(AND(A10&gt;12,'Assumptions'!B31=1),IF(A10=13,-PMT('Assumptions'!B30/12,'Assumptions'!B14-12,B10),E9),-PMT('Assumptions'!B13/12,'Assumptions'!B14,'Assumptions'!B11))</s:f>
        <s:v>52860.294752704765</s:v>
      </s:c>
      <s:c r="F10" s="6">
        <s:f>MIN(B10,E10-D10)</s:f>
        <s:v>20354.258676600377</s:v>
      </s:c>
      <s:c r="G10" s="6">
        <s:f>MAX(0,B10-F10)</s:f>
        <s:v>3880370.0704559265</s:v>
      </s:c>
    </s:row>
    <s:row r="11">
      <s:c r="A11" s="6">
        <s:f>ROW()-4</s:f>
        <s:v>7.0</s:v>
      </s:c>
      <s:c r="B11" s="6">
        <s:f>G10</s:f>
        <s:v>3880370.0704559265</s:v>
      </s:c>
      <s:c r="C11" s="7">
        <s:f>IF(AND(A11&gt;12,'Assumptions'!B31=1),'Assumptions'!B30/12,'Assumptions'!B13/12)</s:f>
        <s:v>0.008333333333333333</s:v>
      </s:c>
      <s:c r="D11" s="6">
        <s:f>B11*C11</s:f>
        <s:v>32336.417253799387</s:v>
      </s:c>
      <s:c r="E11" s="6">
        <s:f>IF(AND(A11&gt;12,'Assumptions'!B31=1),IF(A11=13,-PMT('Assumptions'!B30/12,'Assumptions'!B14-12,B11),E10),-PMT('Assumptions'!B13/12,'Assumptions'!B14,'Assumptions'!B11))</s:f>
        <s:v>52860.294752704765</s:v>
      </s:c>
      <s:c r="F11" s="6">
        <s:f>MIN(B11,E11-D11)</s:f>
        <s:v>20523.877498905378</s:v>
      </s:c>
      <s:c r="G11" s="6">
        <s:f>MAX(0,B11-F11)</s:f>
        <s:v>3859846.1929570213</s:v>
      </s:c>
    </s:row>
    <s:row r="12">
      <s:c r="A12" s="6">
        <s:f>ROW()-4</s:f>
        <s:v>8.0</s:v>
      </s:c>
      <s:c r="B12" s="6">
        <s:f>G11</s:f>
        <s:v>3859846.1929570213</s:v>
      </s:c>
      <s:c r="C12" s="7">
        <s:f>IF(AND(A12&gt;12,'Assumptions'!B31=1),'Assumptions'!B30/12,'Assumptions'!B13/12)</s:f>
        <s:v>0.008333333333333333</s:v>
      </s:c>
      <s:c r="D12" s="6">
        <s:f>B12*C12</s:f>
        <s:v>32165.38494130851</s:v>
      </s:c>
      <s:c r="E12" s="6">
        <s:f>IF(AND(A12&gt;12,'Assumptions'!B31=1),IF(A12=13,-PMT('Assumptions'!B30/12,'Assumptions'!B14-12,B12),E11),-PMT('Assumptions'!B13/12,'Assumptions'!B14,'Assumptions'!B11))</s:f>
        <s:v>52860.294752704765</s:v>
      </s:c>
      <s:c r="F12" s="6">
        <s:f>MIN(B12,E12-D12)</s:f>
        <s:v>20694.909811396254</s:v>
      </s:c>
      <s:c r="G12" s="6">
        <s:f>MAX(0,B12-F12)</s:f>
        <s:v>3839151.283145625</s:v>
      </s:c>
    </s:row>
    <s:row r="13">
      <s:c r="A13" s="6">
        <s:f>ROW()-4</s:f>
        <s:v>9.0</s:v>
      </s:c>
      <s:c r="B13" s="6">
        <s:f>G12</s:f>
        <s:v>3839151.283145625</s:v>
      </s:c>
      <s:c r="C13" s="7">
        <s:f>IF(AND(A13&gt;12,'Assumptions'!B31=1),'Assumptions'!B30/12,'Assumptions'!B13/12)</s:f>
        <s:v>0.008333333333333333</s:v>
      </s:c>
      <s:c r="D13" s="6">
        <s:f>B13*C13</s:f>
        <s:v>31992.927359546877</s:v>
      </s:c>
      <s:c r="E13" s="6">
        <s:f>IF(AND(A13&gt;12,'Assumptions'!B31=1),IF(A13=13,-PMT('Assumptions'!B30/12,'Assumptions'!B14-12,B13),E12),-PMT('Assumptions'!B13/12,'Assumptions'!B14,'Assumptions'!B11))</s:f>
        <s:v>52860.294752704765</s:v>
      </s:c>
      <s:c r="F13" s="6">
        <s:f>MIN(B13,E13-D13)</s:f>
        <s:v>20867.36739315789</s:v>
      </s:c>
      <s:c r="G13" s="6">
        <s:f>MAX(0,B13-F13)</s:f>
        <s:v>3818283.9157524672</s:v>
      </s:c>
    </s:row>
    <s:row r="14">
      <s:c r="A14" s="6">
        <s:f>ROW()-4</s:f>
        <s:v>10.0</s:v>
      </s:c>
      <s:c r="B14" s="6">
        <s:f>G13</s:f>
        <s:v>3818283.9157524672</s:v>
      </s:c>
      <s:c r="C14" s="7">
        <s:f>IF(AND(A14&gt;12,'Assumptions'!B31=1),'Assumptions'!B30/12,'Assumptions'!B13/12)</s:f>
        <s:v>0.008333333333333333</s:v>
      </s:c>
      <s:c r="D14" s="6">
        <s:f>B14*C14</s:f>
        <s:v>31819.03263127056</s:v>
      </s:c>
      <s:c r="E14" s="6">
        <s:f>IF(AND(A14&gt;12,'Assumptions'!B31=1),IF(A14=13,-PMT('Assumptions'!B30/12,'Assumptions'!B14-12,B14),E13),-PMT('Assumptions'!B13/12,'Assumptions'!B14,'Assumptions'!B11))</s:f>
        <s:v>52860.294752704765</s:v>
      </s:c>
      <s:c r="F14" s="6">
        <s:f>MIN(B14,E14-D14)</s:f>
        <s:v>21041.262121434207</s:v>
      </s:c>
      <s:c r="G14" s="6">
        <s:f>MAX(0,B14-F14)</s:f>
        <s:v>3797242.653631033</s:v>
      </s:c>
    </s:row>
    <s:row r="15">
      <s:c r="A15" s="6">
        <s:f>ROW()-4</s:f>
        <s:v>11.0</s:v>
      </s:c>
      <s:c r="B15" s="6">
        <s:f>G14</s:f>
        <s:v>3797242.653631033</s:v>
      </s:c>
      <s:c r="C15" s="7">
        <s:f>IF(AND(A15&gt;12,'Assumptions'!B31=1),'Assumptions'!B30/12,'Assumptions'!B13/12)</s:f>
        <s:v>0.008333333333333333</s:v>
      </s:c>
      <s:c r="D15" s="6">
        <s:f>B15*C15</s:f>
        <s:v>31643.688780258606</s:v>
      </s:c>
      <s:c r="E15" s="6">
        <s:f>IF(AND(A15&gt;12,'Assumptions'!B31=1),IF(A15=13,-PMT('Assumptions'!B30/12,'Assumptions'!B14-12,B15),E14),-PMT('Assumptions'!B13/12,'Assumptions'!B14,'Assumptions'!B11))</s:f>
        <s:v>52860.294752704765</s:v>
      </s:c>
      <s:c r="F15" s="6">
        <s:f>MIN(B15,E15-D15)</s:f>
        <s:v>21216.60597244616</s:v>
      </s:c>
      <s:c r="G15" s="6">
        <s:f>MAX(0,B15-F15)</s:f>
        <s:v>3776026.047658587</s:v>
      </s:c>
    </s:row>
    <s:row r="16">
      <s:c r="A16" s="6">
        <s:f>ROW()-4</s:f>
        <s:v>12.0</s:v>
      </s:c>
      <s:c r="B16" s="6">
        <s:f>G15</s:f>
        <s:v>3776026.047658587</s:v>
      </s:c>
      <s:c r="C16" s="7">
        <s:f>IF(AND(A16&gt;12,'Assumptions'!B31=1),'Assumptions'!B30/12,'Assumptions'!B13/12)</s:f>
        <s:v>0.008333333333333333</s:v>
      </s:c>
      <s:c r="D16" s="6">
        <s:f>B16*C16</s:f>
        <s:v>31466.88373048822</s:v>
      </s:c>
      <s:c r="E16" s="6">
        <s:f>IF(AND(A16&gt;12,'Assumptions'!B31=1),IF(A16=13,-PMT('Assumptions'!B30/12,'Assumptions'!B14-12,B16),E15),-PMT('Assumptions'!B13/12,'Assumptions'!B14,'Assumptions'!B11))</s:f>
        <s:v>52860.294752704765</s:v>
      </s:c>
      <s:c r="F16" s="6">
        <s:f>MIN(B16,E16-D16)</s:f>
        <s:v>21393.411022216544</s:v>
      </s:c>
      <s:c r="G16" s="6">
        <s:f>MAX(0,B16-F16)</s:f>
        <s:v>3754632.6366363703</s:v>
      </s:c>
    </s:row>
    <s:row r="17">
      <s:c r="A17" s="6">
        <s:f>ROW()-4</s:f>
        <s:v>13.0</s:v>
      </s:c>
      <s:c r="B17" s="6">
        <s:f>G16</s:f>
        <s:v>3754632.6366363703</s:v>
      </s:c>
      <s:c r="C17" s="7">
        <s:f>IF(AND(A17&gt;12,'Assumptions'!B31=1),'Assumptions'!B30/12,'Assumptions'!B13/12)</s:f>
        <s:v>0.008333333333333333</s:v>
      </s:c>
      <s:c r="D17" s="6">
        <s:f>B17*C17</s:f>
        <s:v>31288.605305303085</s:v>
      </s:c>
      <s:c r="E17" s="6">
        <s:f>IF(AND(A17&gt;12,'Assumptions'!B31=1),IF(A17=13,-PMT('Assumptions'!B30/12,'Assumptions'!B14-12,B17),E16),-PMT('Assumptions'!B13/12,'Assumptions'!B14,'Assumptions'!B11))</s:f>
        <s:v>52860.294752704765</s:v>
      </s:c>
      <s:c r="F17" s="6">
        <s:f>MIN(B17,E17-D17)</s:f>
        <s:v>21571.68944740168</s:v>
      </s:c>
      <s:c r="G17" s="6">
        <s:f>MAX(0,B17-F17)</s:f>
        <s:v>3733060.947188969</s:v>
      </s:c>
    </s:row>
    <s:row r="18">
      <s:c r="A18" s="6">
        <s:f>ROW()-4</s:f>
        <s:v>14.0</s:v>
      </s:c>
      <s:c r="B18" s="6">
        <s:f>G17</s:f>
        <s:v>3733060.947188969</s:v>
      </s:c>
      <s:c r="C18" s="7">
        <s:f>IF(AND(A18&gt;12,'Assumptions'!B31=1),'Assumptions'!B30/12,'Assumptions'!B13/12)</s:f>
        <s:v>0.008333333333333333</s:v>
      </s:c>
      <s:c r="D18" s="6">
        <s:f>B18*C18</s:f>
        <s:v>31108.84122657474</s:v>
      </s:c>
      <s:c r="E18" s="6">
        <s:f>IF(AND(A18&gt;12,'Assumptions'!B31=1),IF(A18=13,-PMT('Assumptions'!B30/12,'Assumptions'!B14-12,B18),E17),-PMT('Assumptions'!B13/12,'Assumptions'!B14,'Assumptions'!B11))</s:f>
        <s:v>52860.294752704765</s:v>
      </s:c>
      <s:c r="F18" s="6">
        <s:f>MIN(B18,E18-D18)</s:f>
        <s:v>21751.453526130026</s:v>
      </s:c>
      <s:c r="G18" s="6">
        <s:f>MAX(0,B18-F18)</s:f>
        <s:v>3711309.493662839</s:v>
      </s:c>
    </s:row>
    <s:row r="19">
      <s:c r="A19" s="6">
        <s:f>ROW()-4</s:f>
        <s:v>15.0</s:v>
      </s:c>
      <s:c r="B19" s="6">
        <s:f>G18</s:f>
        <s:v>3711309.493662839</s:v>
      </s:c>
      <s:c r="C19" s="7">
        <s:f>IF(AND(A19&gt;12,'Assumptions'!B31=1),'Assumptions'!B30/12,'Assumptions'!B13/12)</s:f>
        <s:v>0.008333333333333333</s:v>
      </s:c>
      <s:c r="D19" s="6">
        <s:f>B19*C19</s:f>
        <s:v>30927.57911385699</s:v>
      </s:c>
      <s:c r="E19" s="6">
        <s:f>IF(AND(A19&gt;12,'Assumptions'!B31=1),IF(A19=13,-PMT('Assumptions'!B30/12,'Assumptions'!B14-12,B19),E18),-PMT('Assumptions'!B13/12,'Assumptions'!B14,'Assumptions'!B11))</s:f>
        <s:v>52860.294752704765</s:v>
      </s:c>
      <s:c r="F19" s="6">
        <s:f>MIN(B19,E19-D19)</s:f>
        <s:v>21932.715638847774</s:v>
      </s:c>
      <s:c r="G19" s="6">
        <s:f>MAX(0,B19-F19)</s:f>
        <s:v>3689376.7780239913</s:v>
      </s:c>
    </s:row>
    <s:row r="20">
      <s:c r="A20" s="6">
        <s:f>ROW()-4</s:f>
        <s:v>16.0</s:v>
      </s:c>
      <s:c r="B20" s="6">
        <s:f>G19</s:f>
        <s:v>3689376.7780239913</s:v>
      </s:c>
      <s:c r="C20" s="7">
        <s:f>IF(AND(A20&gt;12,'Assumptions'!B31=1),'Assumptions'!B30/12,'Assumptions'!B13/12)</s:f>
        <s:v>0.008333333333333333</s:v>
      </s:c>
      <s:c r="D20" s="6">
        <s:f>B20*C20</s:f>
        <s:v>30744.80648353326</s:v>
      </s:c>
      <s:c r="E20" s="6">
        <s:f>IF(AND(A20&gt;12,'Assumptions'!B31=1),IF(A20=13,-PMT('Assumptions'!B30/12,'Assumptions'!B14-12,B20),E19),-PMT('Assumptions'!B13/12,'Assumptions'!B14,'Assumptions'!B11))</s:f>
        <s:v>52860.294752704765</s:v>
      </s:c>
      <s:c r="F20" s="6">
        <s:f>MIN(B20,E20-D20)</s:f>
        <s:v>22115.488269171507</s:v>
      </s:c>
      <s:c r="G20" s="6">
        <s:f>MAX(0,B20-F20)</s:f>
        <s:v>3667261.2897548196</s:v>
      </s:c>
    </s:row>
    <s:row r="21">
      <s:c r="A21" s="6">
        <s:f>ROW()-4</s:f>
        <s:v>17.0</s:v>
      </s:c>
      <s:c r="B21" s="6">
        <s:f>G20</s:f>
        <s:v>3667261.2897548196</s:v>
      </s:c>
      <s:c r="C21" s="7">
        <s:f>IF(AND(A21&gt;12,'Assumptions'!B31=1),'Assumptions'!B30/12,'Assumptions'!B13/12)</s:f>
        <s:v>0.008333333333333333</s:v>
      </s:c>
      <s:c r="D21" s="6">
        <s:f>B21*C21</s:f>
        <s:v>30560.51074795683</s:v>
      </s:c>
      <s:c r="E21" s="6">
        <s:f>IF(AND(A21&gt;12,'Assumptions'!B31=1),IF(A21=13,-PMT('Assumptions'!B30/12,'Assumptions'!B14-12,B21),E20),-PMT('Assumptions'!B13/12,'Assumptions'!B14,'Assumptions'!B11))</s:f>
        <s:v>52860.294752704765</s:v>
      </s:c>
      <s:c r="F21" s="6">
        <s:f>MIN(B21,E21-D21)</s:f>
        <s:v>22299.784004747937</s:v>
      </s:c>
      <s:c r="G21" s="6">
        <s:f>MAX(0,B21-F21)</s:f>
        <s:v>3644961.5057500717</s:v>
      </s:c>
    </s:row>
    <s:row r="22">
      <s:c r="A22" s="6">
        <s:f>ROW()-4</s:f>
        <s:v>18.0</s:v>
      </s:c>
      <s:c r="B22" s="6">
        <s:f>G21</s:f>
        <s:v>3644961.5057500717</s:v>
      </s:c>
      <s:c r="C22" s="7">
        <s:f>IF(AND(A22&gt;12,'Assumptions'!B31=1),'Assumptions'!B30/12,'Assumptions'!B13/12)</s:f>
        <s:v>0.008333333333333333</s:v>
      </s:c>
      <s:c r="D22" s="6">
        <s:f>B22*C22</s:f>
        <s:v>30374.67921458393</s:v>
      </s:c>
      <s:c r="E22" s="6">
        <s:f>IF(AND(A22&gt;12,'Assumptions'!B31=1),IF(A22=13,-PMT('Assumptions'!B30/12,'Assumptions'!B14-12,B22),E21),-PMT('Assumptions'!B13/12,'Assumptions'!B14,'Assumptions'!B11))</s:f>
        <s:v>52860.294752704765</s:v>
      </s:c>
      <s:c r="F22" s="6">
        <s:f>MIN(B22,E22-D22)</s:f>
        <s:v>22485.615538120834</s:v>
      </s:c>
      <s:c r="G22" s="6">
        <s:f>MAX(0,B22-F22)</s:f>
        <s:v>3622475.890211951</s:v>
      </s:c>
    </s:row>
    <s:row r="23">
      <s:c r="A23" s="6">
        <s:f>ROW()-4</s:f>
        <s:v>19.0</s:v>
      </s:c>
      <s:c r="B23" s="6">
        <s:f>G22</s:f>
        <s:v>3622475.890211951</s:v>
      </s:c>
      <s:c r="C23" s="7">
        <s:f>IF(AND(A23&gt;12,'Assumptions'!B31=1),'Assumptions'!B30/12,'Assumptions'!B13/12)</s:f>
        <s:v>0.008333333333333333</s:v>
      </s:c>
      <s:c r="D23" s="6">
        <s:f>B23*C23</s:f>
        <s:v>30187.299085099592</s:v>
      </s:c>
      <s:c r="E23" s="6">
        <s:f>IF(AND(A23&gt;12,'Assumptions'!B31=1),IF(A23=13,-PMT('Assumptions'!B30/12,'Assumptions'!B14-12,B23),E22),-PMT('Assumptions'!B13/12,'Assumptions'!B14,'Assumptions'!B11))</s:f>
        <s:v>52860.294752704765</s:v>
      </s:c>
      <s:c r="F23" s="6">
        <s:f>MIN(B23,E23-D23)</s:f>
        <s:v>22672.995667605173</s:v>
      </s:c>
      <s:c r="G23" s="6">
        <s:f>MAX(0,B23-F23)</s:f>
        <s:v>3599802.894544346</s:v>
      </s:c>
    </s:row>
    <s:row r="24">
      <s:c r="A24" s="6">
        <s:f>ROW()-4</s:f>
        <s:v>20.0</s:v>
      </s:c>
      <s:c r="B24" s="6">
        <s:f>G23</s:f>
        <s:v>3599802.894544346</s:v>
      </s:c>
      <s:c r="C24" s="7">
        <s:f>IF(AND(A24&gt;12,'Assumptions'!B31=1),'Assumptions'!B30/12,'Assumptions'!B13/12)</s:f>
        <s:v>0.008333333333333333</s:v>
      </s:c>
      <s:c r="D24" s="6">
        <s:f>B24*C24</s:f>
        <s:v>29998.357454536213</s:v>
      </s:c>
      <s:c r="E24" s="6">
        <s:f>IF(AND(A24&gt;12,'Assumptions'!B31=1),IF(A24=13,-PMT('Assumptions'!B30/12,'Assumptions'!B14-12,B24),E23),-PMT('Assumptions'!B13/12,'Assumptions'!B14,'Assumptions'!B11))</s:f>
        <s:v>52860.294752704765</s:v>
      </s:c>
      <s:c r="F24" s="6">
        <s:f>MIN(B24,E24-D24)</s:f>
        <s:v>22861.937298168552</s:v>
      </s:c>
      <s:c r="G24" s="6">
        <s:f>MAX(0,B24-F24)</s:f>
        <s:v>3576940.9572461774</s:v>
      </s:c>
    </s:row>
    <s:row r="25">
      <s:c r="A25" s="6">
        <s:f>ROW()-4</s:f>
        <s:v>21.0</s:v>
      </s:c>
      <s:c r="B25" s="6">
        <s:f>G24</s:f>
        <s:v>3576940.9572461774</s:v>
      </s:c>
      <s:c r="C25" s="7">
        <s:f>IF(AND(A25&gt;12,'Assumptions'!B31=1),'Assumptions'!B30/12,'Assumptions'!B13/12)</s:f>
        <s:v>0.008333333333333333</s:v>
      </s:c>
      <s:c r="D25" s="6">
        <s:f>B25*C25</s:f>
        <s:v>29807.84131038481</s:v>
      </s:c>
      <s:c r="E25" s="6">
        <s:f>IF(AND(A25&gt;12,'Assumptions'!B31=1),IF(A25=13,-PMT('Assumptions'!B30/12,'Assumptions'!B14-12,B25),E24),-PMT('Assumptions'!B13/12,'Assumptions'!B14,'Assumptions'!B11))</s:f>
        <s:v>52860.294752704765</s:v>
      </s:c>
      <s:c r="F25" s="6">
        <s:f>MIN(B25,E25-D25)</s:f>
        <s:v>23052.453442319955</s:v>
      </s:c>
      <s:c r="G25" s="6">
        <s:f>MAX(0,B25-F25)</s:f>
        <s:v>3553888.5038038576</s:v>
      </s:c>
    </s:row>
    <s:row r="26">
      <s:c r="A26" s="6">
        <s:f>ROW()-4</s:f>
        <s:v>22.0</s:v>
      </s:c>
      <s:c r="B26" s="6">
        <s:f>G25</s:f>
        <s:v>3553888.5038038576</s:v>
      </s:c>
      <s:c r="C26" s="7">
        <s:f>IF(AND(A26&gt;12,'Assumptions'!B31=1),'Assumptions'!B30/12,'Assumptions'!B13/12)</s:f>
        <s:v>0.008333333333333333</s:v>
      </s:c>
      <s:c r="D26" s="6">
        <s:f>B26*C26</s:f>
        <s:v>29615.737531698815</s:v>
      </s:c>
      <s:c r="E26" s="6">
        <s:f>IF(AND(A26&gt;12,'Assumptions'!B31=1),IF(A26=13,-PMT('Assumptions'!B30/12,'Assumptions'!B14-12,B26),E25),-PMT('Assumptions'!B13/12,'Assumptions'!B14,'Assumptions'!B11))</s:f>
        <s:v>52860.294752704765</s:v>
      </s:c>
      <s:c r="F26" s="6">
        <s:f>MIN(B26,E26-D26)</s:f>
        <s:v>23244.55722100595</s:v>
      </s:c>
      <s:c r="G26" s="6">
        <s:f>MAX(0,B26-F26)</s:f>
        <s:v>3530643.9465828515</s:v>
      </s:c>
    </s:row>
    <s:row r="27">
      <s:c r="A27" s="6">
        <s:f>ROW()-4</s:f>
        <s:v>23.0</s:v>
      </s:c>
      <s:c r="B27" s="6">
        <s:f>G26</s:f>
        <s:v>3530643.9465828515</s:v>
      </s:c>
      <s:c r="C27" s="7">
        <s:f>IF(AND(A27&gt;12,'Assumptions'!B31=1),'Assumptions'!B30/12,'Assumptions'!B13/12)</s:f>
        <s:v>0.008333333333333333</s:v>
      </s:c>
      <s:c r="D27" s="6">
        <s:f>B27*C27</s:f>
        <s:v>29422.032888190428</s:v>
      </s:c>
      <s:c r="E27" s="6">
        <s:f>IF(AND(A27&gt;12,'Assumptions'!B31=1),IF(A27=13,-PMT('Assumptions'!B30/12,'Assumptions'!B14-12,B27),E26),-PMT('Assumptions'!B13/12,'Assumptions'!B14,'Assumptions'!B11))</s:f>
        <s:v>52860.294752704765</s:v>
      </s:c>
      <s:c r="F27" s="6">
        <s:f>MIN(B27,E27-D27)</s:f>
        <s:v>23438.261864514338</s:v>
      </s:c>
      <s:c r="G27" s="6">
        <s:f>MAX(0,B27-F27)</s:f>
        <s:v>3507205.684718337</s:v>
      </s:c>
    </s:row>
    <s:row r="28">
      <s:c r="A28" s="6">
        <s:f>ROW()-4</s:f>
        <s:v>24.0</s:v>
      </s:c>
      <s:c r="B28" s="6">
        <s:f>G27</s:f>
        <s:v>3507205.684718337</s:v>
      </s:c>
      <s:c r="C28" s="7">
        <s:f>IF(AND(A28&gt;12,'Assumptions'!B31=1),'Assumptions'!B30/12,'Assumptions'!B13/12)</s:f>
        <s:v>0.008333333333333333</s:v>
      </s:c>
      <s:c r="D28" s="6">
        <s:f>B28*C28</s:f>
        <s:v>29226.714039319475</s:v>
      </s:c>
      <s:c r="E28" s="6">
        <s:f>IF(AND(A28&gt;12,'Assumptions'!B31=1),IF(A28=13,-PMT('Assumptions'!B30/12,'Assumptions'!B14-12,B28),E27),-PMT('Assumptions'!B13/12,'Assumptions'!B14,'Assumptions'!B11))</s:f>
        <s:v>52860.294752704765</s:v>
      </s:c>
      <s:c r="F28" s="6">
        <s:f>MIN(B28,E28-D28)</s:f>
        <s:v>23633.58071338529</s:v>
      </s:c>
      <s:c r="G28" s="6">
        <s:f>MAX(0,B28-F28)</s:f>
        <s:v>3483572.1040049517</s:v>
      </s:c>
    </s:row>
    <s:row r="29">
      <s:c r="A29" s="6">
        <s:f>ROW()-4</s:f>
        <s:v>25.0</s:v>
      </s:c>
      <s:c r="B29" s="6">
        <s:f>G28</s:f>
        <s:v>3483572.1040049517</s:v>
      </s:c>
      <s:c r="C29" s="7">
        <s:f>IF(AND(A29&gt;12,'Assumptions'!B31=1),'Assumptions'!B30/12,'Assumptions'!B13/12)</s:f>
        <s:v>0.008333333333333333</s:v>
      </s:c>
      <s:c r="D29" s="6">
        <s:f>B29*C29</s:f>
        <s:v>29029.767533374597</s:v>
      </s:c>
      <s:c r="E29" s="6">
        <s:f>IF(AND(A29&gt;12,'Assumptions'!B31=1),IF(A29=13,-PMT('Assumptions'!B30/12,'Assumptions'!B14-12,B29),E28),-PMT('Assumptions'!B13/12,'Assumptions'!B14,'Assumptions'!B11))</s:f>
        <s:v>52860.294752704765</s:v>
      </s:c>
      <s:c r="F29" s="6">
        <s:f>MIN(B29,E29-D29)</s:f>
        <s:v>23830.527219330168</s:v>
      </s:c>
      <s:c r="G29" s="6">
        <s:f>MAX(0,B29-F29)</s:f>
        <s:v>3459741.5767856217</s:v>
      </s:c>
    </s:row>
    <s:row r="30">
      <s:c r="A30" s="6">
        <s:f>ROW()-4</s:f>
        <s:v>26.0</s:v>
      </s:c>
      <s:c r="B30" s="6">
        <s:f>G29</s:f>
        <s:v>3459741.5767856217</s:v>
      </s:c>
      <s:c r="C30" s="7">
        <s:f>IF(AND(A30&gt;12,'Assumptions'!B31=1),'Assumptions'!B30/12,'Assumptions'!B13/12)</s:f>
        <s:v>0.008333333333333333</s:v>
      </s:c>
      <s:c r="D30" s="6">
        <s:f>B30*C30</s:f>
        <s:v>28831.179806546847</s:v>
      </s:c>
      <s:c r="E30" s="6">
        <s:f>IF(AND(A30&gt;12,'Assumptions'!B31=1),IF(A30=13,-PMT('Assumptions'!B30/12,'Assumptions'!B14-12,B30),E29),-PMT('Assumptions'!B13/12,'Assumptions'!B14,'Assumptions'!B11))</s:f>
        <s:v>52860.294752704765</s:v>
      </s:c>
      <s:c r="F30" s="6">
        <s:f>MIN(B30,E30-D30)</s:f>
        <s:v>24029.11494615792</s:v>
      </s:c>
      <s:c r="G30" s="6">
        <s:f>MAX(0,B30-F30)</s:f>
        <s:v>3435712.4618394636</s:v>
      </s:c>
    </s:row>
    <s:row r="31">
      <s:c r="A31" s="6">
        <s:f>ROW()-4</s:f>
        <s:v>27.0</s:v>
      </s:c>
      <s:c r="B31" s="6">
        <s:f>G30</s:f>
        <s:v>3435712.4618394636</s:v>
      </s:c>
      <s:c r="C31" s="7">
        <s:f>IF(AND(A31&gt;12,'Assumptions'!B31=1),'Assumptions'!B30/12,'Assumptions'!B13/12)</s:f>
        <s:v>0.008333333333333333</s:v>
      </s:c>
      <s:c r="D31" s="6">
        <s:f>B31*C31</s:f>
        <s:v>28630.93718199553</s:v>
      </s:c>
      <s:c r="E31" s="6">
        <s:f>IF(AND(A31&gt;12,'Assumptions'!B31=1),IF(A31=13,-PMT('Assumptions'!B30/12,'Assumptions'!B14-12,B31),E30),-PMT('Assumptions'!B13/12,'Assumptions'!B14,'Assumptions'!B11))</s:f>
        <s:v>52860.294752704765</s:v>
      </s:c>
      <s:c r="F31" s="6">
        <s:f>MIN(B31,E31-D31)</s:f>
        <s:v>24229.357570709235</s:v>
      </s:c>
      <s:c r="G31" s="6">
        <s:f>MAX(0,B31-F31)</s:f>
        <s:v>3411483.1042687544</s:v>
      </s:c>
    </s:row>
    <s:row r="32">
      <s:c r="A32" s="6">
        <s:f>ROW()-4</s:f>
        <s:v>28.0</s:v>
      </s:c>
      <s:c r="B32" s="6">
        <s:f>G31</s:f>
        <s:v>3411483.1042687544</s:v>
      </s:c>
      <s:c r="C32" s="7">
        <s:f>IF(AND(A32&gt;12,'Assumptions'!B31=1),'Assumptions'!B30/12,'Assumptions'!B13/12)</s:f>
        <s:v>0.008333333333333333</s:v>
      </s:c>
      <s:c r="D32" s="6">
        <s:f>B32*C32</s:f>
        <s:v>28429.025868906287</s:v>
      </s:c>
      <s:c r="E32" s="6">
        <s:f>IF(AND(A32&gt;12,'Assumptions'!B31=1),IF(A32=13,-PMT('Assumptions'!B30/12,'Assumptions'!B14-12,B32),E31),-PMT('Assumptions'!B13/12,'Assumptions'!B14,'Assumptions'!B11))</s:f>
        <s:v>52860.294752704765</s:v>
      </s:c>
      <s:c r="F32" s="6">
        <s:f>MIN(B32,E32-D32)</s:f>
        <s:v>24431.26888379848</s:v>
      </s:c>
      <s:c r="G32" s="6">
        <s:f>MAX(0,B32-F32)</s:f>
        <s:v>3387051.835384956</s:v>
      </s:c>
    </s:row>
    <s:row r="33">
      <s:c r="A33" s="6">
        <s:f>ROW()-4</s:f>
        <s:v>29.0</s:v>
      </s:c>
      <s:c r="B33" s="6">
        <s:f>G32</s:f>
        <s:v>3387051.835384956</s:v>
      </s:c>
      <s:c r="C33" s="7">
        <s:f>IF(AND(A33&gt;12,'Assumptions'!B31=1),'Assumptions'!B30/12,'Assumptions'!B13/12)</s:f>
        <s:v>0.008333333333333333</s:v>
      </s:c>
      <s:c r="D33" s="6">
        <s:f>B33*C33</s:f>
        <s:v>28225.4319615413</s:v>
      </s:c>
      <s:c r="E33" s="6">
        <s:f>IF(AND(A33&gt;12,'Assumptions'!B31=1),IF(A33=13,-PMT('Assumptions'!B30/12,'Assumptions'!B14-12,B33),E32),-PMT('Assumptions'!B13/12,'Assumptions'!B14,'Assumptions'!B11))</s:f>
        <s:v>52860.294752704765</s:v>
      </s:c>
      <s:c r="F33" s="6">
        <s:f>MIN(B33,E33-D33)</s:f>
        <s:v>24634.862791163465</s:v>
      </s:c>
      <s:c r="G33" s="6">
        <s:f>MAX(0,B33-F33)</s:f>
        <s:v>3362416.9725937927</s:v>
      </s:c>
    </s:row>
    <s:row r="34">
      <s:c r="A34" s="6">
        <s:f>ROW()-4</s:f>
        <s:v>30.0</s:v>
      </s:c>
      <s:c r="B34" s="6">
        <s:f>G33</s:f>
        <s:v>3362416.9725937927</s:v>
      </s:c>
      <s:c r="C34" s="7">
        <s:f>IF(AND(A34&gt;12,'Assumptions'!B31=1),'Assumptions'!B30/12,'Assumptions'!B13/12)</s:f>
        <s:v>0.008333333333333333</s:v>
      </s:c>
      <s:c r="D34" s="6">
        <s:f>B34*C34</s:f>
        <s:v>28020.141438281604</s:v>
      </s:c>
      <s:c r="E34" s="6">
        <s:f>IF(AND(A34&gt;12,'Assumptions'!B31=1),IF(A34=13,-PMT('Assumptions'!B30/12,'Assumptions'!B14-12,B34),E33),-PMT('Assumptions'!B13/12,'Assumptions'!B14,'Assumptions'!B11))</s:f>
        <s:v>52860.294752704765</s:v>
      </s:c>
      <s:c r="F34" s="6">
        <s:f>MIN(B34,E34-D34)</s:f>
        <s:v>24840.15331442316</s:v>
      </s:c>
      <s:c r="G34" s="6">
        <s:f>MAX(0,B34-F34)</s:f>
        <s:v>3337576.8192793694</s:v>
      </s:c>
    </s:row>
    <s:row r="35">
      <s:c r="A35" s="6">
        <s:f>ROW()-4</s:f>
        <s:v>31.0</s:v>
      </s:c>
      <s:c r="B35" s="6">
        <s:f>G34</s:f>
        <s:v>3337576.8192793694</s:v>
      </s:c>
      <s:c r="C35" s="7">
        <s:f>IF(AND(A35&gt;12,'Assumptions'!B31=1),'Assumptions'!B30/12,'Assumptions'!B13/12)</s:f>
        <s:v>0.008333333333333333</s:v>
      </s:c>
      <s:c r="D35" s="6">
        <s:f>B35*C35</s:f>
        <s:v>27813.140160661413</s:v>
      </s:c>
      <s:c r="E35" s="6">
        <s:f>IF(AND(A35&gt;12,'Assumptions'!B31=1),IF(A35=13,-PMT('Assumptions'!B30/12,'Assumptions'!B14-12,B35),E34),-PMT('Assumptions'!B13/12,'Assumptions'!B14,'Assumptions'!B11))</s:f>
        <s:v>52860.294752704765</s:v>
      </s:c>
      <s:c r="F35" s="6">
        <s:f>MIN(B35,E35-D35)</s:f>
        <s:v>25047.154592043353</s:v>
      </s:c>
      <s:c r="G35" s="6">
        <s:f>MAX(0,B35-F35)</s:f>
        <s:v>3312529.664687326</s:v>
      </s:c>
    </s:row>
    <s:row r="36">
      <s:c r="A36" s="6">
        <s:f>ROW()-4</s:f>
        <s:v>32.0</s:v>
      </s:c>
      <s:c r="B36" s="6">
        <s:f>G35</s:f>
        <s:v>3312529.664687326</s:v>
      </s:c>
      <s:c r="C36" s="7">
        <s:f>IF(AND(A36&gt;12,'Assumptions'!B31=1),'Assumptions'!B30/12,'Assumptions'!B13/12)</s:f>
        <s:v>0.008333333333333333</s:v>
      </s:c>
      <s:c r="D36" s="6">
        <s:f>B36*C36</s:f>
        <s:v>27604.413872394383</s:v>
      </s:c>
      <s:c r="E36" s="6">
        <s:f>IF(AND(A36&gt;12,'Assumptions'!B31=1),IF(A36=13,-PMT('Assumptions'!B30/12,'Assumptions'!B14-12,B36),E35),-PMT('Assumptions'!B13/12,'Assumptions'!B14,'Assumptions'!B11))</s:f>
        <s:v>52860.294752704765</s:v>
      </s:c>
      <s:c r="F36" s="6">
        <s:f>MIN(B36,E36-D36)</s:f>
        <s:v>25255.880880310382</s:v>
      </s:c>
      <s:c r="G36" s="6">
        <s:f>MAX(0,B36-F36)</s:f>
        <s:v>3287273.783807016</s:v>
      </s:c>
    </s:row>
    <s:row r="37">
      <s:c r="A37" s="6">
        <s:f>ROW()-4</s:f>
        <s:v>33.0</s:v>
      </s:c>
      <s:c r="B37" s="6">
        <s:f>G36</s:f>
        <s:v>3287273.783807016</s:v>
      </s:c>
      <s:c r="C37" s="7">
        <s:f>IF(AND(A37&gt;12,'Assumptions'!B31=1),'Assumptions'!B30/12,'Assumptions'!B13/12)</s:f>
        <s:v>0.008333333333333333</s:v>
      </s:c>
      <s:c r="D37" s="6">
        <s:f>B37*C37</s:f>
        <s:v>27393.948198391798</s:v>
      </s:c>
      <s:c r="E37" s="6">
        <s:f>IF(AND(A37&gt;12,'Assumptions'!B31=1),IF(A37=13,-PMT('Assumptions'!B30/12,'Assumptions'!B14-12,B37),E36),-PMT('Assumptions'!B13/12,'Assumptions'!B14,'Assumptions'!B11))</s:f>
        <s:v>52860.294752704765</s:v>
      </s:c>
      <s:c r="F37" s="6">
        <s:f>MIN(B37,E37-D37)</s:f>
        <s:v>25466.346554312968</s:v>
      </s:c>
      <s:c r="G37" s="6">
        <s:f>MAX(0,B37-F37)</s:f>
        <s:v>3261807.437252703</s:v>
      </s:c>
    </s:row>
    <s:row r="38">
      <s:c r="A38" s="6">
        <s:f>ROW()-4</s:f>
        <s:v>34.0</s:v>
      </s:c>
      <s:c r="B38" s="6">
        <s:f>G37</s:f>
        <s:v>3261807.437252703</s:v>
      </s:c>
      <s:c r="C38" s="7">
        <s:f>IF(AND(A38&gt;12,'Assumptions'!B31=1),'Assumptions'!B30/12,'Assumptions'!B13/12)</s:f>
        <s:v>0.008333333333333333</s:v>
      </s:c>
      <s:c r="D38" s="6">
        <s:f>B38*C38</s:f>
        <s:v>27181.728643772527</s:v>
      </s:c>
      <s:c r="E38" s="6">
        <s:f>IF(AND(A38&gt;12,'Assumptions'!B31=1),IF(A38=13,-PMT('Assumptions'!B30/12,'Assumptions'!B14-12,B38),E37),-PMT('Assumptions'!B13/12,'Assumptions'!B14,'Assumptions'!B11))</s:f>
        <s:v>52860.294752704765</s:v>
      </s:c>
      <s:c r="F38" s="6">
        <s:f>MIN(B38,E38-D38)</s:f>
        <s:v>25678.56610893224</s:v>
      </s:c>
      <s:c r="G38" s="6">
        <s:f>MAX(0,B38-F38)</s:f>
        <s:v>3236128.871143771</s:v>
      </s:c>
    </s:row>
    <s:row r="39">
      <s:c r="A39" s="6">
        <s:f>ROW()-4</s:f>
        <s:v>35.0</s:v>
      </s:c>
      <s:c r="B39" s="6">
        <s:f>G38</s:f>
        <s:v>3236128.871143771</s:v>
      </s:c>
      <s:c r="C39" s="7">
        <s:f>IF(AND(A39&gt;12,'Assumptions'!B31=1),'Assumptions'!B30/12,'Assumptions'!B13/12)</s:f>
        <s:v>0.008333333333333333</s:v>
      </s:c>
      <s:c r="D39" s="6">
        <s:f>B39*C39</s:f>
        <s:v>26967.740592864757</s:v>
      </s:c>
      <s:c r="E39" s="6">
        <s:f>IF(AND(A39&gt;12,'Assumptions'!B31=1),IF(A39=13,-PMT('Assumptions'!B30/12,'Assumptions'!B14-12,B39),E38),-PMT('Assumptions'!B13/12,'Assumptions'!B14,'Assumptions'!B11))</s:f>
        <s:v>52860.294752704765</s:v>
      </s:c>
      <s:c r="F39" s="6">
        <s:f>MIN(B39,E39-D39)</s:f>
        <s:v>25892.55415984001</s:v>
      </s:c>
      <s:c r="G39" s="6">
        <s:f>MAX(0,B39-F39)</s:f>
        <s:v>3210236.3169839308</s:v>
      </s:c>
    </s:row>
    <s:row r="40">
      <s:c r="A40" s="6">
        <s:f>ROW()-4</s:f>
        <s:v>36.0</s:v>
      </s:c>
      <s:c r="B40" s="6">
        <s:f>G39</s:f>
        <s:v>3210236.3169839308</s:v>
      </s:c>
      <s:c r="C40" s="7">
        <s:f>IF(AND(A40&gt;12,'Assumptions'!B31=1),'Assumptions'!B30/12,'Assumptions'!B13/12)</s:f>
        <s:v>0.008333333333333333</s:v>
      </s:c>
      <s:c r="D40" s="6">
        <s:f>B40*C40</s:f>
        <s:v>26751.969308199423</s:v>
      </s:c>
      <s:c r="E40" s="6">
        <s:f>IF(AND(A40&gt;12,'Assumptions'!B31=1),IF(A40=13,-PMT('Assumptions'!B30/12,'Assumptions'!B14-12,B40),E39),-PMT('Assumptions'!B13/12,'Assumptions'!B14,'Assumptions'!B11))</s:f>
        <s:v>52860.294752704765</s:v>
      </s:c>
      <s:c r="F40" s="6">
        <s:f>MIN(B40,E40-D40)</s:f>
        <s:v>26108.325444505343</s:v>
      </s:c>
      <s:c r="G40" s="6">
        <s:f>MAX(0,B40-F40)</s:f>
        <s:v>3184127.991539425</s:v>
      </s:c>
    </s:row>
    <s:row r="41">
      <s:c r="A41" s="6">
        <s:f>ROW()-4</s:f>
        <s:v>37.0</s:v>
      </s:c>
      <s:c r="B41" s="6">
        <s:f>G40</s:f>
        <s:v>3184127.991539425</s:v>
      </s:c>
      <s:c r="C41" s="7">
        <s:f>IF(AND(A41&gt;12,'Assumptions'!B31=1),'Assumptions'!B30/12,'Assumptions'!B13/12)</s:f>
        <s:v>0.008333333333333333</s:v>
      </s:c>
      <s:c r="D41" s="6">
        <s:f>B41*C41</s:f>
        <s:v>26534.39992949521</s:v>
      </s:c>
      <s:c r="E41" s="6">
        <s:f>IF(AND(A41&gt;12,'Assumptions'!B31=1),IF(A41=13,-PMT('Assumptions'!B30/12,'Assumptions'!B14-12,B41),E40),-PMT('Assumptions'!B13/12,'Assumptions'!B14,'Assumptions'!B11))</s:f>
        <s:v>52860.294752704765</s:v>
      </s:c>
      <s:c r="F41" s="6">
        <s:f>MIN(B41,E41-D41)</s:f>
        <s:v>26325.894823209557</s:v>
      </s:c>
      <s:c r="G41" s="6">
        <s:f>MAX(0,B41-F41)</s:f>
        <s:v>3157802.096716216</s:v>
      </s:c>
    </s:row>
    <s:row r="42">
      <s:c r="A42" s="6">
        <s:f>ROW()-4</s:f>
        <s:v>38.0</s:v>
      </s:c>
      <s:c r="B42" s="6">
        <s:f>G41</s:f>
        <s:v>3157802.096716216</s:v>
      </s:c>
      <s:c r="C42" s="7">
        <s:f>IF(AND(A42&gt;12,'Assumptions'!B31=1),'Assumptions'!B30/12,'Assumptions'!B13/12)</s:f>
        <s:v>0.008333333333333333</s:v>
      </s:c>
      <s:c r="D42" s="6">
        <s:f>B42*C42</s:f>
        <s:v>26315.017472635132</s:v>
      </s:c>
      <s:c r="E42" s="6">
        <s:f>IF(AND(A42&gt;12,'Assumptions'!B31=1),IF(A42=13,-PMT('Assumptions'!B30/12,'Assumptions'!B14-12,B42),E41),-PMT('Assumptions'!B13/12,'Assumptions'!B14,'Assumptions'!B11))</s:f>
        <s:v>52860.294752704765</s:v>
      </s:c>
      <s:c r="F42" s="6">
        <s:f>MIN(B42,E42-D42)</s:f>
        <s:v>26545.277280069633</s:v>
      </s:c>
      <s:c r="G42" s="6">
        <s:f>MAX(0,B42-F42)</s:f>
        <s:v>3131256.8194361464</s:v>
      </s:c>
    </s:row>
    <s:row r="43">
      <s:c r="A43" s="6">
        <s:f>ROW()-4</s:f>
        <s:v>39.0</s:v>
      </s:c>
      <s:c r="B43" s="6">
        <s:f>G42</s:f>
        <s:v>3131256.8194361464</s:v>
      </s:c>
      <s:c r="C43" s="7">
        <s:f>IF(AND(A43&gt;12,'Assumptions'!B31=1),'Assumptions'!B30/12,'Assumptions'!B13/12)</s:f>
        <s:v>0.008333333333333333</s:v>
      </s:c>
      <s:c r="D43" s="6">
        <s:f>B43*C43</s:f>
        <s:v>26093.80682863455</s:v>
      </s:c>
      <s:c r="E43" s="6">
        <s:f>IF(AND(A43&gt;12,'Assumptions'!B31=1),IF(A43=13,-PMT('Assumptions'!B30/12,'Assumptions'!B14-12,B43),E42),-PMT('Assumptions'!B13/12,'Assumptions'!B14,'Assumptions'!B11))</s:f>
        <s:v>52860.294752704765</s:v>
      </s:c>
      <s:c r="F43" s="6">
        <s:f>MIN(B43,E43-D43)</s:f>
        <s:v>26766.487924070214</s:v>
      </s:c>
      <s:c r="G43" s="6">
        <s:f>MAX(0,B43-F43)</s:f>
        <s:v>3104490.3315120763</s:v>
      </s:c>
    </s:row>
    <s:row r="44">
      <s:c r="A44" s="6">
        <s:f>ROW()-4</s:f>
        <s:v>40.0</s:v>
      </s:c>
      <s:c r="B44" s="6">
        <s:f>G43</s:f>
        <s:v>3104490.3315120763</s:v>
      </s:c>
      <s:c r="C44" s="7">
        <s:f>IF(AND(A44&gt;12,'Assumptions'!B31=1),'Assumptions'!B30/12,'Assumptions'!B13/12)</s:f>
        <s:v>0.008333333333333333</s:v>
      </s:c>
      <s:c r="D44" s="6">
        <s:f>B44*C44</s:f>
        <s:v>25870.752762600634</s:v>
      </s:c>
      <s:c r="E44" s="6">
        <s:f>IF(AND(A44&gt;12,'Assumptions'!B31=1),IF(A44=13,-PMT('Assumptions'!B30/12,'Assumptions'!B14-12,B44),E43),-PMT('Assumptions'!B13/12,'Assumptions'!B14,'Assumptions'!B11))</s:f>
        <s:v>52860.294752704765</s:v>
      </s:c>
      <s:c r="F44" s="6">
        <s:f>MIN(B44,E44-D44)</s:f>
        <s:v>26989.54199010413</s:v>
      </s:c>
      <s:c r="G44" s="6">
        <s:f>MAX(0,B44-F44)</s:f>
        <s:v>3077500.789521972</s:v>
      </s:c>
    </s:row>
    <s:row r="45">
      <s:c r="A45" s="6">
        <s:f>ROW()-4</s:f>
        <s:v>41.0</s:v>
      </s:c>
      <s:c r="B45" s="6">
        <s:f>G44</s:f>
        <s:v>3077500.789521972</s:v>
      </s:c>
      <s:c r="C45" s="7">
        <s:f>IF(AND(A45&gt;12,'Assumptions'!B31=1),'Assumptions'!B30/12,'Assumptions'!B13/12)</s:f>
        <s:v>0.008333333333333333</s:v>
      </s:c>
      <s:c r="D45" s="6">
        <s:f>B45*C45</s:f>
        <s:v>25645.839912683103</s:v>
      </s:c>
      <s:c r="E45" s="6">
        <s:f>IF(AND(A45&gt;12,'Assumptions'!B31=1),IF(A45=13,-PMT('Assumptions'!B30/12,'Assumptions'!B14-12,B45),E44),-PMT('Assumptions'!B13/12,'Assumptions'!B14,'Assumptions'!B11))</s:f>
        <s:v>52860.294752704765</s:v>
      </s:c>
      <s:c r="F45" s="6">
        <s:f>MIN(B45,E45-D45)</s:f>
        <s:v>27214.454840021663</s:v>
      </s:c>
      <s:c r="G45" s="6">
        <s:f>MAX(0,B45-F45)</s:f>
        <s:v>3050286.3346819505</s:v>
      </s:c>
    </s:row>
    <s:row r="46">
      <s:c r="A46" s="6">
        <s:f>ROW()-4</s:f>
        <s:v>42.0</s:v>
      </s:c>
      <s:c r="B46" s="6">
        <s:f>G45</s:f>
        <s:v>3050286.3346819505</s:v>
      </s:c>
      <s:c r="C46" s="7">
        <s:f>IF(AND(A46&gt;12,'Assumptions'!B31=1),'Assumptions'!B30/12,'Assumptions'!B13/12)</s:f>
        <s:v>0.008333333333333333</s:v>
      </s:c>
      <s:c r="D46" s="6">
        <s:f>B46*C46</s:f>
        <s:v>25419.052789016256</s:v>
      </s:c>
      <s:c r="E46" s="6">
        <s:f>IF(AND(A46&gt;12,'Assumptions'!B31=1),IF(A46=13,-PMT('Assumptions'!B30/12,'Assumptions'!B14-12,B46),E45),-PMT('Assumptions'!B13/12,'Assumptions'!B14,'Assumptions'!B11))</s:f>
        <s:v>52860.294752704765</s:v>
      </s:c>
      <s:c r="F46" s="6">
        <s:f>MIN(B46,E46-D46)</s:f>
        <s:v>27441.24196368851</s:v>
      </s:c>
      <s:c r="G46" s="6">
        <s:f>MAX(0,B46-F46)</s:f>
        <s:v>3022845.092718262</s:v>
      </s:c>
    </s:row>
    <s:row r="47">
      <s:c r="A47" s="6">
        <s:f>ROW()-4</s:f>
        <s:v>43.0</s:v>
      </s:c>
      <s:c r="B47" s="6">
        <s:f>G46</s:f>
        <s:v>3022845.092718262</s:v>
      </s:c>
      <s:c r="C47" s="7">
        <s:f>IF(AND(A47&gt;12,'Assumptions'!B31=1),'Assumptions'!B30/12,'Assumptions'!B13/12)</s:f>
        <s:v>0.008333333333333333</s:v>
      </s:c>
      <s:c r="D47" s="6">
        <s:f>B47*C47</s:f>
        <s:v>25190.375772652184</s:v>
      </s:c>
      <s:c r="E47" s="6">
        <s:f>IF(AND(A47&gt;12,'Assumptions'!B31=1),IF(A47=13,-PMT('Assumptions'!B30/12,'Assumptions'!B14-12,B47),E46),-PMT('Assumptions'!B13/12,'Assumptions'!B14,'Assumptions'!B11))</s:f>
        <s:v>52860.294752704765</s:v>
      </s:c>
      <s:c r="F47" s="6">
        <s:f>MIN(B47,E47-D47)</s:f>
        <s:v>27669.918980052582</s:v>
      </s:c>
      <s:c r="G47" s="6">
        <s:f>MAX(0,B47-F47)</s:f>
        <s:v>2995175.1737382095</s:v>
      </s:c>
    </s:row>
    <s:row r="48">
      <s:c r="A48" s="6">
        <s:f>ROW()-4</s:f>
        <s:v>44.0</s:v>
      </s:c>
      <s:c r="B48" s="6">
        <s:f>G47</s:f>
        <s:v>2995175.1737382095</s:v>
      </s:c>
      <s:c r="C48" s="7">
        <s:f>IF(AND(A48&gt;12,'Assumptions'!B31=1),'Assumptions'!B30/12,'Assumptions'!B13/12)</s:f>
        <s:v>0.008333333333333333</s:v>
      </s:c>
      <s:c r="D48" s="6">
        <s:f>B48*C48</s:f>
        <s:v>24959.79311448508</s:v>
      </s:c>
      <s:c r="E48" s="6">
        <s:f>IF(AND(A48&gt;12,'Assumptions'!B31=1),IF(A48=13,-PMT('Assumptions'!B30/12,'Assumptions'!B14-12,B48),E47),-PMT('Assumptions'!B13/12,'Assumptions'!B14,'Assumptions'!B11))</s:f>
        <s:v>52860.294752704765</s:v>
      </s:c>
      <s:c r="F48" s="6">
        <s:f>MIN(B48,E48-D48)</s:f>
        <s:v>27900.501638219685</s:v>
      </s:c>
      <s:c r="G48" s="6">
        <s:f>MAX(0,B48-F48)</s:f>
        <s:v>2967274.67209999</s:v>
      </s:c>
    </s:row>
    <s:row r="49">
      <s:c r="A49" s="6">
        <s:f>ROW()-4</s:f>
        <s:v>45.0</s:v>
      </s:c>
      <s:c r="B49" s="6">
        <s:f>G48</s:f>
        <s:v>2967274.67209999</s:v>
      </s:c>
      <s:c r="C49" s="7">
        <s:f>IF(AND(A49&gt;12,'Assumptions'!B31=1),'Assumptions'!B30/12,'Assumptions'!B13/12)</s:f>
        <s:v>0.008333333333333333</s:v>
      </s:c>
      <s:c r="D49" s="6">
        <s:f>B49*C49</s:f>
        <s:v>24727.288934166583</s:v>
      </s:c>
      <s:c r="E49" s="6">
        <s:f>IF(AND(A49&gt;12,'Assumptions'!B31=1),IF(A49=13,-PMT('Assumptions'!B30/12,'Assumptions'!B14-12,B49),E48),-PMT('Assumptions'!B13/12,'Assumptions'!B14,'Assumptions'!B11))</s:f>
        <s:v>52860.294752704765</s:v>
      </s:c>
      <s:c r="F49" s="6">
        <s:f>MIN(B49,E49-D49)</s:f>
        <s:v>28133.005818538182</s:v>
      </s:c>
      <s:c r="G49" s="6">
        <s:f>MAX(0,B49-F49)</s:f>
        <s:v>2939141.6662814515</s:v>
      </s:c>
    </s:row>
    <s:row r="50">
      <s:c r="A50" s="6">
        <s:f>ROW()-4</s:f>
        <s:v>46.0</s:v>
      </s:c>
      <s:c r="B50" s="6">
        <s:f>G49</s:f>
        <s:v>2939141.6662814515</s:v>
      </s:c>
      <s:c r="C50" s="7">
        <s:f>IF(AND(A50&gt;12,'Assumptions'!B31=1),'Assumptions'!B30/12,'Assumptions'!B13/12)</s:f>
        <s:v>0.008333333333333333</s:v>
      </s:c>
      <s:c r="D50" s="6">
        <s:f>B50*C50</s:f>
        <s:v>24492.847219012096</s:v>
      </s:c>
      <s:c r="E50" s="6">
        <s:f>IF(AND(A50&gt;12,'Assumptions'!B31=1),IF(A50=13,-PMT('Assumptions'!B30/12,'Assumptions'!B14-12,B50),E49),-PMT('Assumptions'!B13/12,'Assumptions'!B14,'Assumptions'!B11))</s:f>
        <s:v>52860.294752704765</s:v>
      </s:c>
      <s:c r="F50" s="6">
        <s:f>MIN(B50,E50-D50)</s:f>
        <s:v>28367.44753369267</s:v>
      </s:c>
      <s:c r="G50" s="6">
        <s:f>MAX(0,B50-F50)</s:f>
        <s:v>2910774.218747759</s:v>
      </s:c>
    </s:row>
    <s:row r="51">
      <s:c r="A51" s="6">
        <s:f>ROW()-4</s:f>
        <s:v>47.0</s:v>
      </s:c>
      <s:c r="B51" s="6">
        <s:f>G50</s:f>
        <s:v>2910774.218747759</s:v>
      </s:c>
      <s:c r="C51" s="7">
        <s:f>IF(AND(A51&gt;12,'Assumptions'!B31=1),'Assumptions'!B30/12,'Assumptions'!B13/12)</s:f>
        <s:v>0.008333333333333333</s:v>
      </s:c>
      <s:c r="D51" s="6">
        <s:f>B51*C51</s:f>
        <s:v>24256.45182289799</s:v>
      </s:c>
      <s:c r="E51" s="6">
        <s:f>IF(AND(A51&gt;12,'Assumptions'!B31=1),IF(A51=13,-PMT('Assumptions'!B30/12,'Assumptions'!B14-12,B51),E50),-PMT('Assumptions'!B13/12,'Assumptions'!B14,'Assumptions'!B11))</s:f>
        <s:v>52860.294752704765</s:v>
      </s:c>
      <s:c r="F51" s="6">
        <s:f>MIN(B51,E51-D51)</s:f>
        <s:v>28603.842929806775</s:v>
      </s:c>
      <s:c r="G51" s="6">
        <s:f>MAX(0,B51-F51)</s:f>
        <s:v>2882170.375817952</s:v>
      </s:c>
    </s:row>
    <s:row r="52">
      <s:c r="A52" s="6">
        <s:f>ROW()-4</s:f>
        <s:v>48.0</s:v>
      </s:c>
      <s:c r="B52" s="6">
        <s:f>G51</s:f>
        <s:v>2882170.375817952</s:v>
      </s:c>
      <s:c r="C52" s="7">
        <s:f>IF(AND(A52&gt;12,'Assumptions'!B31=1),'Assumptions'!B30/12,'Assumptions'!B13/12)</s:f>
        <s:v>0.008333333333333333</s:v>
      </s:c>
      <s:c r="D52" s="6">
        <s:f>B52*C52</s:f>
        <s:v>24018.0864651496</s:v>
      </s:c>
      <s:c r="E52" s="6">
        <s:f>IF(AND(A52&gt;12,'Assumptions'!B31=1),IF(A52=13,-PMT('Assumptions'!B30/12,'Assumptions'!B14-12,B52),E51),-PMT('Assumptions'!B13/12,'Assumptions'!B14,'Assumptions'!B11))</s:f>
        <s:v>52860.294752704765</s:v>
      </s:c>
      <s:c r="F52" s="6">
        <s:f>MIN(B52,E52-D52)</s:f>
        <s:v>28842.208287555164</s:v>
      </s:c>
      <s:c r="G52" s="6">
        <s:f>MAX(0,B52-F52)</s:f>
        <s:v>2853328.167530397</s:v>
      </s:c>
    </s:row>
    <s:row r="53">
      <s:c r="A53" s="6">
        <s:f>ROW()-4</s:f>
        <s:v>49.0</s:v>
      </s:c>
      <s:c r="B53" s="6">
        <s:f>G52</s:f>
        <s:v>2853328.167530397</s:v>
      </s:c>
      <s:c r="C53" s="7">
        <s:f>IF(AND(A53&gt;12,'Assumptions'!B31=1),'Assumptions'!B30/12,'Assumptions'!B13/12)</s:f>
        <s:v>0.008333333333333333</s:v>
      </s:c>
      <s:c r="D53" s="6">
        <s:f>B53*C53</s:f>
        <s:v>23777.734729419975</s:v>
      </s:c>
      <s:c r="E53" s="6">
        <s:f>IF(AND(A53&gt;12,'Assumptions'!B31=1),IF(A53=13,-PMT('Assumptions'!B30/12,'Assumptions'!B14-12,B53),E52),-PMT('Assumptions'!B13/12,'Assumptions'!B14,'Assumptions'!B11))</s:f>
        <s:v>52860.294752704765</s:v>
      </s:c>
      <s:c r="F53" s="6">
        <s:f>MIN(B53,E53-D53)</s:f>
        <s:v>29082.56002328479</s:v>
      </s:c>
      <s:c r="G53" s="6">
        <s:f>MAX(0,B53-F53)</s:f>
        <s:v>2824245.607507112</s:v>
      </s:c>
    </s:row>
    <s:row r="54">
      <s:c r="A54" s="6">
        <s:f>ROW()-4</s:f>
        <s:v>50.0</s:v>
      </s:c>
      <s:c r="B54" s="6">
        <s:f>G53</s:f>
        <s:v>2824245.607507112</s:v>
      </s:c>
      <s:c r="C54" s="7">
        <s:f>IF(AND(A54&gt;12,'Assumptions'!B31=1),'Assumptions'!B30/12,'Assumptions'!B13/12)</s:f>
        <s:v>0.008333333333333333</s:v>
      </s:c>
      <s:c r="D54" s="6">
        <s:f>B54*C54</s:f>
        <s:v>23535.380062559267</s:v>
      </s:c>
      <s:c r="E54" s="6">
        <s:f>IF(AND(A54&gt;12,'Assumptions'!B31=1),IF(A54=13,-PMT('Assumptions'!B30/12,'Assumptions'!B14-12,B54),E53),-PMT('Assumptions'!B13/12,'Assumptions'!B14,'Assumptions'!B11))</s:f>
        <s:v>52860.294752704765</s:v>
      </s:c>
      <s:c r="F54" s="6">
        <s:f>MIN(B54,E54-D54)</s:f>
        <s:v>29324.9146901455</s:v>
      </s:c>
      <s:c r="G54" s="6">
        <s:f>MAX(0,B54-F54)</s:f>
        <s:v>2794920.6928169667</s:v>
      </s:c>
    </s:row>
    <s:row r="55">
      <s:c r="A55" s="6">
        <s:f>ROW()-4</s:f>
        <s:v>51.0</s:v>
      </s:c>
      <s:c r="B55" s="6">
        <s:f>G54</s:f>
        <s:v>2794920.6928169667</s:v>
      </s:c>
      <s:c r="C55" s="7">
        <s:f>IF(AND(A55&gt;12,'Assumptions'!B31=1),'Assumptions'!B30/12,'Assumptions'!B13/12)</s:f>
        <s:v>0.008333333333333333</s:v>
      </s:c>
      <s:c r="D55" s="6">
        <s:f>B55*C55</s:f>
        <s:v>23291.00577347472</s:v>
      </s:c>
      <s:c r="E55" s="6">
        <s:f>IF(AND(A55&gt;12,'Assumptions'!B31=1),IF(A55=13,-PMT('Assumptions'!B30/12,'Assumptions'!B14-12,B55),E54),-PMT('Assumptions'!B13/12,'Assumptions'!B14,'Assumptions'!B11))</s:f>
        <s:v>52860.294752704765</s:v>
      </s:c>
      <s:c r="F55" s="6">
        <s:f>MIN(B55,E55-D55)</s:f>
        <s:v>29569.288979230045</s:v>
      </s:c>
      <s:c r="G55" s="6">
        <s:f>MAX(0,B55-F55)</s:f>
        <s:v>2765351.4038377367</s:v>
      </s:c>
    </s:row>
    <s:row r="56">
      <s:c r="A56" s="6">
        <s:f>ROW()-4</s:f>
        <s:v>52.0</s:v>
      </s:c>
      <s:c r="B56" s="6">
        <s:f>G55</s:f>
        <s:v>2765351.4038377367</s:v>
      </s:c>
      <s:c r="C56" s="7">
        <s:f>IF(AND(A56&gt;12,'Assumptions'!B31=1),'Assumptions'!B30/12,'Assumptions'!B13/12)</s:f>
        <s:v>0.008333333333333333</s:v>
      </s:c>
      <s:c r="D56" s="6">
        <s:f>B56*C56</s:f>
        <s:v>23044.595031981138</s:v>
      </s:c>
      <s:c r="E56" s="6">
        <s:f>IF(AND(A56&gt;12,'Assumptions'!B31=1),IF(A56=13,-PMT('Assumptions'!B30/12,'Assumptions'!B14-12,B56),E55),-PMT('Assumptions'!B13/12,'Assumptions'!B14,'Assumptions'!B11))</s:f>
        <s:v>52860.294752704765</s:v>
      </s:c>
      <s:c r="F56" s="6">
        <s:f>MIN(B56,E56-D56)</s:f>
        <s:v>29815.699720723627</s:v>
      </s:c>
      <s:c r="G56" s="6">
        <s:f>MAX(0,B56-F56)</s:f>
        <s:v>2735535.704117013</s:v>
      </s:c>
    </s:row>
    <s:row r="57">
      <s:c r="A57" s="6">
        <s:f>ROW()-4</s:f>
        <s:v>53.0</s:v>
      </s:c>
      <s:c r="B57" s="6">
        <s:f>G56</s:f>
        <s:v>2735535.704117013</s:v>
      </s:c>
      <s:c r="C57" s="7">
        <s:f>IF(AND(A57&gt;12,'Assumptions'!B31=1),'Assumptions'!B30/12,'Assumptions'!B13/12)</s:f>
        <s:v>0.008333333333333333</s:v>
      </s:c>
      <s:c r="D57" s="6">
        <s:f>B57*C57</s:f>
        <s:v>22796.130867641776</s:v>
      </s:c>
      <s:c r="E57" s="6">
        <s:f>IF(AND(A57&gt;12,'Assumptions'!B31=1),IF(A57=13,-PMT('Assumptions'!B30/12,'Assumptions'!B14-12,B57),E56),-PMT('Assumptions'!B13/12,'Assumptions'!B14,'Assumptions'!B11))</s:f>
        <s:v>52860.294752704765</s:v>
      </s:c>
      <s:c r="F57" s="6">
        <s:f>MIN(B57,E57-D57)</s:f>
        <s:v>30064.16388506299</s:v>
      </s:c>
      <s:c r="G57" s="6">
        <s:f>MAX(0,B57-F57)</s:f>
        <s:v>2705471.54023195</s:v>
      </s:c>
    </s:row>
    <s:row r="58">
      <s:c r="A58" s="6">
        <s:f>ROW()-4</s:f>
        <s:v>54.0</s:v>
      </s:c>
      <s:c r="B58" s="6">
        <s:f>G57</s:f>
        <s:v>2705471.54023195</s:v>
      </s:c>
      <s:c r="C58" s="7">
        <s:f>IF(AND(A58&gt;12,'Assumptions'!B31=1),'Assumptions'!B30/12,'Assumptions'!B13/12)</s:f>
        <s:v>0.008333333333333333</s:v>
      </s:c>
      <s:c r="D58" s="6">
        <s:f>B58*C58</s:f>
        <s:v>22545.596168599583</s:v>
      </s:c>
      <s:c r="E58" s="6">
        <s:f>IF(AND(A58&gt;12,'Assumptions'!B31=1),IF(A58=13,-PMT('Assumptions'!B30/12,'Assumptions'!B14-12,B58),E57),-PMT('Assumptions'!B13/12,'Assumptions'!B14,'Assumptions'!B11))</s:f>
        <s:v>52860.294752704765</s:v>
      </s:c>
      <s:c r="F58" s="6">
        <s:f>MIN(B58,E58-D58)</s:f>
        <s:v>30314.698584105183</s:v>
      </s:c>
      <s:c r="G58" s="6">
        <s:f>MAX(0,B58-F58)</s:f>
        <s:v>2675156.8416478448</s:v>
      </s:c>
    </s:row>
    <s:row r="59">
      <s:c r="A59" s="6">
        <s:f>ROW()-4</s:f>
        <s:v>55.0</s:v>
      </s:c>
      <s:c r="B59" s="6">
        <s:f>G58</s:f>
        <s:v>2675156.8416478448</s:v>
      </s:c>
      <s:c r="C59" s="7">
        <s:f>IF(AND(A59&gt;12,'Assumptions'!B31=1),'Assumptions'!B30/12,'Assumptions'!B13/12)</s:f>
        <s:v>0.008333333333333333</s:v>
      </s:c>
      <s:c r="D59" s="6">
        <s:f>B59*C59</s:f>
        <s:v>22292.973680398707</s:v>
      </s:c>
      <s:c r="E59" s="6">
        <s:f>IF(AND(A59&gt;12,'Assumptions'!B31=1),IF(A59=13,-PMT('Assumptions'!B30/12,'Assumptions'!B14-12,B59),E58),-PMT('Assumptions'!B13/12,'Assumptions'!B14,'Assumptions'!B11))</s:f>
        <s:v>52860.294752704765</s:v>
      </s:c>
      <s:c r="F59" s="6">
        <s:f>MIN(B59,E59-D59)</s:f>
        <s:v>30567.32107230606</s:v>
      </s:c>
      <s:c r="G59" s="6">
        <s:f>MAX(0,B59-F59)</s:f>
        <s:v>2644589.5205755387</s:v>
      </s:c>
    </s:row>
    <s:row r="60">
      <s:c r="A60" s="6">
        <s:f>ROW()-4</s:f>
        <s:v>56.0</s:v>
      </s:c>
      <s:c r="B60" s="6">
        <s:f>G59</s:f>
        <s:v>2644589.5205755387</s:v>
      </s:c>
      <s:c r="C60" s="7">
        <s:f>IF(AND(A60&gt;12,'Assumptions'!B31=1),'Assumptions'!B30/12,'Assumptions'!B13/12)</s:f>
        <s:v>0.008333333333333333</s:v>
      </s:c>
      <s:c r="D60" s="6">
        <s:f>B60*C60</s:f>
        <s:v>22038.246004796158</s:v>
      </s:c>
      <s:c r="E60" s="6">
        <s:f>IF(AND(A60&gt;12,'Assumptions'!B31=1),IF(A60=13,-PMT('Assumptions'!B30/12,'Assumptions'!B14-12,B60),E59),-PMT('Assumptions'!B13/12,'Assumptions'!B14,'Assumptions'!B11))</s:f>
        <s:v>52860.294752704765</s:v>
      </s:c>
      <s:c r="F60" s="6">
        <s:f>MIN(B60,E60-D60)</s:f>
        <s:v>30822.048747908608</s:v>
      </s:c>
      <s:c r="G60" s="6">
        <s:f>MAX(0,B60-F60)</s:f>
        <s:v>2613767.47182763</s:v>
      </s:c>
    </s:row>
    <s:row r="61">
      <s:c r="A61" s="6">
        <s:f>ROW()-4</s:f>
        <s:v>57.0</s:v>
      </s:c>
      <s:c r="B61" s="6">
        <s:f>G60</s:f>
        <s:v>2613767.47182763</s:v>
      </s:c>
      <s:c r="C61" s="7">
        <s:f>IF(AND(A61&gt;12,'Assumptions'!B31=1),'Assumptions'!B30/12,'Assumptions'!B13/12)</s:f>
        <s:v>0.008333333333333333</s:v>
      </s:c>
      <s:c r="D61" s="6">
        <s:f>B61*C61</s:f>
        <s:v>21781.395598563584</s:v>
      </s:c>
      <s:c r="E61" s="6">
        <s:f>IF(AND(A61&gt;12,'Assumptions'!B31=1),IF(A61=13,-PMT('Assumptions'!B30/12,'Assumptions'!B14-12,B61),E60),-PMT('Assumptions'!B13/12,'Assumptions'!B14,'Assumptions'!B11))</s:f>
        <s:v>52860.294752704765</s:v>
      </s:c>
      <s:c r="F61" s="6">
        <s:f>MIN(B61,E61-D61)</s:f>
        <s:v>31078.89915414118</s:v>
      </s:c>
      <s:c r="G61" s="6">
        <s:f>MAX(0,B61-F61)</s:f>
        <s:v>2582688.572673489</s:v>
      </s:c>
    </s:row>
    <s:row r="62">
      <s:c r="A62" s="6">
        <s:f>ROW()-4</s:f>
        <s:v>58.0</s:v>
      </s:c>
      <s:c r="B62" s="6">
        <s:f>G61</s:f>
        <s:v>2582688.572673489</s:v>
      </s:c>
      <s:c r="C62" s="7">
        <s:f>IF(AND(A62&gt;12,'Assumptions'!B31=1),'Assumptions'!B30/12,'Assumptions'!B13/12)</s:f>
        <s:v>0.008333333333333333</s:v>
      </s:c>
      <s:c r="D62" s="6">
        <s:f>B62*C62</s:f>
        <s:v>21522.404772279075</s:v>
      </s:c>
      <s:c r="E62" s="6">
        <s:f>IF(AND(A62&gt;12,'Assumptions'!B31=1),IF(A62=13,-PMT('Assumptions'!B30/12,'Assumptions'!B14-12,B62),E61),-PMT('Assumptions'!B13/12,'Assumptions'!B14,'Assumptions'!B11))</s:f>
        <s:v>52860.294752704765</s:v>
      </s:c>
      <s:c r="F62" s="6">
        <s:f>MIN(B62,E62-D62)</s:f>
        <s:v>31337.88998042569</s:v>
      </s:c>
      <s:c r="G62" s="6">
        <s:f>MAX(0,B62-F62)</s:f>
        <s:v>2551350.6826930633</s:v>
      </s:c>
    </s:row>
    <s:row r="63">
      <s:c r="A63" s="6">
        <s:f>ROW()-4</s:f>
        <s:v>59.0</s:v>
      </s:c>
      <s:c r="B63" s="6">
        <s:f>G62</s:f>
        <s:v>2551350.6826930633</s:v>
      </s:c>
      <s:c r="C63" s="7">
        <s:f>IF(AND(A63&gt;12,'Assumptions'!B31=1),'Assumptions'!B30/12,'Assumptions'!B13/12)</s:f>
        <s:v>0.008333333333333333</s:v>
      </s:c>
      <s:c r="D63" s="6">
        <s:f>B63*C63</s:f>
        <s:v>21261.25568910886</s:v>
      </s:c>
      <s:c r="E63" s="6">
        <s:f>IF(AND(A63&gt;12,'Assumptions'!B31=1),IF(A63=13,-PMT('Assumptions'!B30/12,'Assumptions'!B14-12,B63),E62),-PMT('Assumptions'!B13/12,'Assumptions'!B14,'Assumptions'!B11))</s:f>
        <s:v>52860.294752704765</s:v>
      </s:c>
      <s:c r="F63" s="6">
        <s:f>MIN(B63,E63-D63)</s:f>
        <s:v>31599.039063595905</s:v>
      </s:c>
      <s:c r="G63" s="6">
        <s:f>MAX(0,B63-F63)</s:f>
        <s:v>2519751.6436294676</s:v>
      </s:c>
    </s:row>
    <s:row r="64">
      <s:c r="A64" s="6">
        <s:f>ROW()-4</s:f>
        <s:v>60.0</s:v>
      </s:c>
      <s:c r="B64" s="6">
        <s:f>G63</s:f>
        <s:v>2519751.6436294676</s:v>
      </s:c>
      <s:c r="C64" s="7">
        <s:f>IF(AND(A64&gt;12,'Assumptions'!B31=1),'Assumptions'!B30/12,'Assumptions'!B13/12)</s:f>
        <s:v>0.008333333333333333</s:v>
      </s:c>
      <s:c r="D64" s="6">
        <s:f>B64*C64</s:f>
        <s:v>20997.930363578897</s:v>
      </s:c>
      <s:c r="E64" s="6">
        <s:f>IF(AND(A64&gt;12,'Assumptions'!B31=1),IF(A64=13,-PMT('Assumptions'!B30/12,'Assumptions'!B14-12,B64),E63),-PMT('Assumptions'!B13/12,'Assumptions'!B14,'Assumptions'!B11))</s:f>
        <s:v>52860.294752704765</s:v>
      </s:c>
      <s:c r="F64" s="6">
        <s:f>MIN(B64,E64-D64)</s:f>
        <s:v>31862.36438912587</s:v>
      </s:c>
      <s:c r="G64" s="6">
        <s:f>MAX(0,B64-F64)</s:f>
        <s:v>2487889.279240342</s:v>
      </s:c>
    </s:row>
    <s:row r="65">
      <s:c r="A65" s="6">
        <s:f>ROW()-4</s:f>
        <s:v>61.0</s:v>
      </s:c>
      <s:c r="B65" s="6">
        <s:f>G64</s:f>
        <s:v>2487889.279240342</s:v>
      </s:c>
      <s:c r="C65" s="7">
        <s:f>IF(AND(A65&gt;12,'Assumptions'!B31=1),'Assumptions'!B30/12,'Assumptions'!B13/12)</s:f>
        <s:v>0.008333333333333333</s:v>
      </s:c>
      <s:c r="D65" s="6">
        <s:f>B65*C65</s:f>
        <s:v>20732.410660336183</s:v>
      </s:c>
      <s:c r="E65" s="6">
        <s:f>IF(AND(A65&gt;12,'Assumptions'!B31=1),IF(A65=13,-PMT('Assumptions'!B30/12,'Assumptions'!B14-12,B65),E64),-PMT('Assumptions'!B13/12,'Assumptions'!B14,'Assumptions'!B11))</s:f>
        <s:v>52860.294752704765</s:v>
      </s:c>
      <s:c r="F65" s="6">
        <s:f>MIN(B65,E65-D65)</s:f>
        <s:v>32127.884092368582</s:v>
      </s:c>
      <s:c r="G65" s="6">
        <s:f>MAX(0,B65-F65)</s:f>
        <s:v>2455761.395147973</s:v>
      </s:c>
    </s:row>
    <s:row r="66">
      <s:c r="A66" s="6">
        <s:f>ROW()-4</s:f>
        <s:v>62.0</s:v>
      </s:c>
      <s:c r="B66" s="6">
        <s:f>G65</s:f>
        <s:v>2455761.395147973</s:v>
      </s:c>
      <s:c r="C66" s="7">
        <s:f>IF(AND(A66&gt;12,'Assumptions'!B31=1),'Assumptions'!B30/12,'Assumptions'!B13/12)</s:f>
        <s:v>0.008333333333333333</s:v>
      </s:c>
      <s:c r="D66" s="6">
        <s:f>B66*C66</s:f>
        <s:v>20464.678292899778</s:v>
      </s:c>
      <s:c r="E66" s="6">
        <s:f>IF(AND(A66&gt;12,'Assumptions'!B31=1),IF(A66=13,-PMT('Assumptions'!B30/12,'Assumptions'!B14-12,B66),E65),-PMT('Assumptions'!B13/12,'Assumptions'!B14,'Assumptions'!B11))</s:f>
        <s:v>52860.294752704765</s:v>
      </s:c>
      <s:c r="F66" s="6">
        <s:f>MIN(B66,E66-D66)</s:f>
        <s:v>32395.616459804987</s:v>
      </s:c>
      <s:c r="G66" s="6">
        <s:f>MAX(0,B66-F66)</s:f>
        <s:v>2423365.778688168</s:v>
      </s:c>
    </s:row>
    <s:row r="67">
      <s:c r="A67" s="6">
        <s:f>ROW()-4</s:f>
        <s:v>63.0</s:v>
      </s:c>
      <s:c r="B67" s="6">
        <s:f>G66</s:f>
        <s:v>2423365.778688168</s:v>
      </s:c>
      <s:c r="C67" s="7">
        <s:f>IF(AND(A67&gt;12,'Assumptions'!B31=1),'Assumptions'!B30/12,'Assumptions'!B13/12)</s:f>
        <s:v>0.008333333333333333</s:v>
      </s:c>
      <s:c r="D67" s="6">
        <s:f>B67*C67</s:f>
        <s:v>20194.7148224014</s:v>
      </s:c>
      <s:c r="E67" s="6">
        <s:f>IF(AND(A67&gt;12,'Assumptions'!B31=1),IF(A67=13,-PMT('Assumptions'!B30/12,'Assumptions'!B14-12,B67),E66),-PMT('Assumptions'!B13/12,'Assumptions'!B14,'Assumptions'!B11))</s:f>
        <s:v>52860.294752704765</s:v>
      </s:c>
      <s:c r="F67" s="6">
        <s:f>MIN(B67,E67-D67)</s:f>
        <s:v>32665.579930303364</s:v>
      </s:c>
      <s:c r="G67" s="6">
        <s:f>MAX(0,B67-F67)</s:f>
        <s:v>2390700.198757865</s:v>
      </s:c>
    </s:row>
    <s:row r="68">
      <s:c r="A68" s="6">
        <s:f>ROW()-4</s:f>
        <s:v>64.0</s:v>
      </s:c>
      <s:c r="B68" s="6">
        <s:f>G67</s:f>
        <s:v>2390700.198757865</s:v>
      </s:c>
      <s:c r="C68" s="7">
        <s:f>IF(AND(A68&gt;12,'Assumptions'!B31=1),'Assumptions'!B30/12,'Assumptions'!B13/12)</s:f>
        <s:v>0.008333333333333333</s:v>
      </s:c>
      <s:c r="D68" s="6">
        <s:f>B68*C68</s:f>
        <s:v>19922.50165631554</s:v>
      </s:c>
      <s:c r="E68" s="6">
        <s:f>IF(AND(A68&gt;12,'Assumptions'!B31=1),IF(A68=13,-PMT('Assumptions'!B30/12,'Assumptions'!B14-12,B68),E67),-PMT('Assumptions'!B13/12,'Assumptions'!B14,'Assumptions'!B11))</s:f>
        <s:v>52860.294752704765</s:v>
      </s:c>
      <s:c r="F68" s="6">
        <s:f>MIN(B68,E68-D68)</s:f>
        <s:v>32937.79309638923</s:v>
      </s:c>
      <s:c r="G68" s="6">
        <s:f>MAX(0,B68-F68)</s:f>
        <s:v>2357762.405661476</s:v>
      </s:c>
    </s:row>
    <s:row r="69">
      <s:c r="A69" s="6">
        <s:f>ROW()-4</s:f>
        <s:v>65.0</s:v>
      </s:c>
      <s:c r="B69" s="6">
        <s:f>G68</s:f>
        <s:v>2357762.405661476</s:v>
      </s:c>
      <s:c r="C69" s="7">
        <s:f>IF(AND(A69&gt;12,'Assumptions'!B31=1),'Assumptions'!B30/12,'Assumptions'!B13/12)</s:f>
        <s:v>0.008333333333333333</s:v>
      </s:c>
      <s:c r="D69" s="6">
        <s:f>B69*C69</s:f>
        <s:v>19648.020047178965</s:v>
      </s:c>
      <s:c r="E69" s="6">
        <s:f>IF(AND(A69&gt;12,'Assumptions'!B31=1),IF(A69=13,-PMT('Assumptions'!B30/12,'Assumptions'!B14-12,B69),E68),-PMT('Assumptions'!B13/12,'Assumptions'!B14,'Assumptions'!B11))</s:f>
        <s:v>52860.294752704765</s:v>
      </s:c>
      <s:c r="F69" s="6">
        <s:f>MIN(B69,E69-D69)</s:f>
        <s:v>33212.2747055258</s:v>
      </s:c>
      <s:c r="G69" s="6">
        <s:f>MAX(0,B69-F69)</s:f>
        <s:v>2324550.13095595</s:v>
      </s:c>
    </s:row>
    <s:row r="70">
      <s:c r="A70" s="6">
        <s:f>ROW()-4</s:f>
        <s:v>66.0</s:v>
      </s:c>
      <s:c r="B70" s="6">
        <s:f>G69</s:f>
        <s:v>2324550.13095595</s:v>
      </s:c>
      <s:c r="C70" s="7">
        <s:f>IF(AND(A70&gt;12,'Assumptions'!B31=1),'Assumptions'!B30/12,'Assumptions'!B13/12)</s:f>
        <s:v>0.008333333333333333</s:v>
      </s:c>
      <s:c r="D70" s="6">
        <s:f>B70*C70</s:f>
        <s:v>19371.251091299582</s:v>
      </s:c>
      <s:c r="E70" s="6">
        <s:f>IF(AND(A70&gt;12,'Assumptions'!B31=1),IF(A70=13,-PMT('Assumptions'!B30/12,'Assumptions'!B14-12,B70),E69),-PMT('Assumptions'!B13/12,'Assumptions'!B14,'Assumptions'!B11))</s:f>
        <s:v>52860.294752704765</s:v>
      </s:c>
      <s:c r="F70" s="6">
        <s:f>MIN(B70,E70-D70)</s:f>
        <s:v>33489.04366140519</s:v>
      </s:c>
      <s:c r="G70" s="6">
        <s:f>MAX(0,B70-F70)</s:f>
        <s:v>2291061.0872945446</s:v>
      </s:c>
    </s:row>
    <s:row r="71">
      <s:c r="A71" s="6">
        <s:f>ROW()-4</s:f>
        <s:v>67.0</s:v>
      </s:c>
      <s:c r="B71" s="6">
        <s:f>G70</s:f>
        <s:v>2291061.0872945446</s:v>
      </s:c>
      <s:c r="C71" s="7">
        <s:f>IF(AND(A71&gt;12,'Assumptions'!B31=1),'Assumptions'!B30/12,'Assumptions'!B13/12)</s:f>
        <s:v>0.008333333333333333</s:v>
      </s:c>
      <s:c r="D71" s="6">
        <s:f>B71*C71</s:f>
        <s:v>19092.175727454538</s:v>
      </s:c>
      <s:c r="E71" s="6">
        <s:f>IF(AND(A71&gt;12,'Assumptions'!B31=1),IF(A71=13,-PMT('Assumptions'!B30/12,'Assumptions'!B14-12,B71),E70),-PMT('Assumptions'!B13/12,'Assumptions'!B14,'Assumptions'!B11))</s:f>
        <s:v>52860.294752704765</s:v>
      </s:c>
      <s:c r="F71" s="6">
        <s:f>MIN(B71,E71-D71)</s:f>
        <s:v>33768.11902525023</s:v>
      </s:c>
      <s:c r="G71" s="6">
        <s:f>MAX(0,B71-F71)</s:f>
        <s:v>2257292.968269294</s:v>
      </s:c>
    </s:row>
    <s:row r="72">
      <s:c r="A72" s="6">
        <s:f>ROW()-4</s:f>
        <s:v>68.0</s:v>
      </s:c>
      <s:c r="B72" s="6">
        <s:f>G71</s:f>
        <s:v>2257292.968269294</s:v>
      </s:c>
      <s:c r="C72" s="7">
        <s:f>IF(AND(A72&gt;12,'Assumptions'!B31=1),'Assumptions'!B30/12,'Assumptions'!B13/12)</s:f>
        <s:v>0.008333333333333333</s:v>
      </s:c>
      <s:c r="D72" s="6">
        <s:f>B72*C72</s:f>
        <s:v>18810.77473557745</s:v>
      </s:c>
      <s:c r="E72" s="6">
        <s:f>IF(AND(A72&gt;12,'Assumptions'!B31=1),IF(A72=13,-PMT('Assumptions'!B30/12,'Assumptions'!B14-12,B72),E71),-PMT('Assumptions'!B13/12,'Assumptions'!B14,'Assumptions'!B11))</s:f>
        <s:v>52860.294752704765</s:v>
      </s:c>
      <s:c r="F72" s="6">
        <s:f>MIN(B72,E72-D72)</s:f>
        <s:v>34049.52001712732</s:v>
      </s:c>
      <s:c r="G72" s="6">
        <s:f>MAX(0,B72-F72)</s:f>
        <s:v>2223243.4482521666</s:v>
      </s:c>
    </s:row>
    <s:row r="73">
      <s:c r="A73" s="6">
        <s:f>ROW()-4</s:f>
        <s:v>69.0</s:v>
      </s:c>
      <s:c r="B73" s="6">
        <s:f>G72</s:f>
        <s:v>2223243.4482521666</s:v>
      </s:c>
      <s:c r="C73" s="7">
        <s:f>IF(AND(A73&gt;12,'Assumptions'!B31=1),'Assumptions'!B30/12,'Assumptions'!B13/12)</s:f>
        <s:v>0.008333333333333333</s:v>
      </s:c>
      <s:c r="D73" s="6">
        <s:f>B73*C73</s:f>
        <s:v>18527.02873543472</s:v>
      </s:c>
      <s:c r="E73" s="6">
        <s:f>IF(AND(A73&gt;12,'Assumptions'!B31=1),IF(A73=13,-PMT('Assumptions'!B30/12,'Assumptions'!B14-12,B73),E72),-PMT('Assumptions'!B13/12,'Assumptions'!B14,'Assumptions'!B11))</s:f>
        <s:v>52860.294752704765</s:v>
      </s:c>
      <s:c r="F73" s="6">
        <s:f>MIN(B73,E73-D73)</s:f>
        <s:v>34333.26601727004</s:v>
      </s:c>
      <s:c r="G73" s="6">
        <s:f>MAX(0,B73-F73)</s:f>
        <s:v>2188910.1822348963</s:v>
      </s:c>
    </s:row>
    <s:row r="74">
      <s:c r="A74" s="6">
        <s:f>ROW()-4</s:f>
        <s:v>70.0</s:v>
      </s:c>
      <s:c r="B74" s="6">
        <s:f>G73</s:f>
        <s:v>2188910.1822348963</s:v>
      </s:c>
      <s:c r="C74" s="7">
        <s:f>IF(AND(A74&gt;12,'Assumptions'!B31=1),'Assumptions'!B30/12,'Assumptions'!B13/12)</s:f>
        <s:v>0.008333333333333333</s:v>
      </s:c>
      <s:c r="D74" s="6">
        <s:f>B74*C74</s:f>
        <s:v>18240.918185290804</s:v>
      </s:c>
      <s:c r="E74" s="6">
        <s:f>IF(AND(A74&gt;12,'Assumptions'!B31=1),IF(A74=13,-PMT('Assumptions'!B30/12,'Assumptions'!B14-12,B74),E73),-PMT('Assumptions'!B13/12,'Assumptions'!B14,'Assumptions'!B11))</s:f>
        <s:v>52860.294752704765</s:v>
      </s:c>
      <s:c r="F74" s="6">
        <s:f>MIN(B74,E74-D74)</s:f>
        <s:v>34619.37656741396</s:v>
      </s:c>
      <s:c r="G74" s="6">
        <s:f>MAX(0,B74-F74)</s:f>
        <s:v>2154290.8056674823</s:v>
      </s:c>
    </s:row>
    <s:row r="75">
      <s:c r="A75" s="6">
        <s:f>ROW()-4</s:f>
        <s:v>71.0</s:v>
      </s:c>
      <s:c r="B75" s="6">
        <s:f>G74</s:f>
        <s:v>2154290.8056674823</s:v>
      </s:c>
      <s:c r="C75" s="7">
        <s:f>IF(AND(A75&gt;12,'Assumptions'!B31=1),'Assumptions'!B30/12,'Assumptions'!B13/12)</s:f>
        <s:v>0.008333333333333333</s:v>
      </s:c>
      <s:c r="D75" s="6">
        <s:f>B75*C75</s:f>
        <s:v>17952.42338056235</s:v>
      </s:c>
      <s:c r="E75" s="6">
        <s:f>IF(AND(A75&gt;12,'Assumptions'!B31=1),IF(A75=13,-PMT('Assumptions'!B30/12,'Assumptions'!B14-12,B75),E74),-PMT('Assumptions'!B13/12,'Assumptions'!B14,'Assumptions'!B11))</s:f>
        <s:v>52860.294752704765</s:v>
      </s:c>
      <s:c r="F75" s="6">
        <s:f>MIN(B75,E75-D75)</s:f>
        <s:v>34907.871372142414</s:v>
      </s:c>
      <s:c r="G75" s="6">
        <s:f>MAX(0,B75-F75)</s:f>
        <s:v>2119382.93429534</s:v>
      </s:c>
    </s:row>
    <s:row r="76">
      <s:c r="A76" s="6">
        <s:f>ROW()-4</s:f>
        <s:v>72.0</s:v>
      </s:c>
      <s:c r="B76" s="6">
        <s:f>G75</s:f>
        <s:v>2119382.93429534</s:v>
      </s:c>
      <s:c r="C76" s="7">
        <s:f>IF(AND(A76&gt;12,'Assumptions'!B31=1),'Assumptions'!B30/12,'Assumptions'!B13/12)</s:f>
        <s:v>0.008333333333333333</s:v>
      </s:c>
      <s:c r="D76" s="6">
        <s:f>B76*C76</s:f>
        <s:v>17661.524452461166</s:v>
      </s:c>
      <s:c r="E76" s="6">
        <s:f>IF(AND(A76&gt;12,'Assumptions'!B31=1),IF(A76=13,-PMT('Assumptions'!B30/12,'Assumptions'!B14-12,B76),E75),-PMT('Assumptions'!B13/12,'Assumptions'!B14,'Assumptions'!B11))</s:f>
        <s:v>52860.294752704765</s:v>
      </s:c>
      <s:c r="F76" s="6">
        <s:f>MIN(B76,E76-D76)</s:f>
        <s:v>35198.7703002436</s:v>
      </s:c>
      <s:c r="G76" s="6">
        <s:f>MAX(0,B76-F76)</s:f>
        <s:v>2084184.1639950965</s:v>
      </s:c>
    </s:row>
    <s:row r="77">
      <s:c r="A77" s="6">
        <s:f>ROW()-4</s:f>
        <s:v>73.0</s:v>
      </s:c>
      <s:c r="B77" s="6">
        <s:f>G76</s:f>
        <s:v>2084184.1639950965</s:v>
      </s:c>
      <s:c r="C77" s="7">
        <s:f>IF(AND(A77&gt;12,'Assumptions'!B31=1),'Assumptions'!B30/12,'Assumptions'!B13/12)</s:f>
        <s:v>0.008333333333333333</s:v>
      </s:c>
      <s:c r="D77" s="6">
        <s:f>B77*C77</s:f>
        <s:v>17368.201366625803</s:v>
      </s:c>
      <s:c r="E77" s="6">
        <s:f>IF(AND(A77&gt;12,'Assumptions'!B31=1),IF(A77=13,-PMT('Assumptions'!B30/12,'Assumptions'!B14-12,B77),E76),-PMT('Assumptions'!B13/12,'Assumptions'!B14,'Assumptions'!B11))</s:f>
        <s:v>52860.294752704765</s:v>
      </s:c>
      <s:c r="F77" s="6">
        <s:f>MIN(B77,E77-D77)</s:f>
        <s:v>35492.09338607897</s:v>
      </s:c>
      <s:c r="G77" s="6">
        <s:f>MAX(0,B77-F77)</s:f>
        <s:v>2048692.0706090175</s:v>
      </s:c>
    </s:row>
    <s:row r="78">
      <s:c r="A78" s="6">
        <s:f>ROW()-4</s:f>
        <s:v>74.0</s:v>
      </s:c>
      <s:c r="B78" s="6">
        <s:f>G77</s:f>
        <s:v>2048692.0706090175</s:v>
      </s:c>
      <s:c r="C78" s="7">
        <s:f>IF(AND(A78&gt;12,'Assumptions'!B31=1),'Assumptions'!B30/12,'Assumptions'!B13/12)</s:f>
        <s:v>0.008333333333333333</s:v>
      </s:c>
      <s:c r="D78" s="6">
        <s:f>B78*C78</s:f>
        <s:v>17072.433921741813</s:v>
      </s:c>
      <s:c r="E78" s="6">
        <s:f>IF(AND(A78&gt;12,'Assumptions'!B31=1),IF(A78=13,-PMT('Assumptions'!B30/12,'Assumptions'!B14-12,B78),E77),-PMT('Assumptions'!B13/12,'Assumptions'!B14,'Assumptions'!B11))</s:f>
        <s:v>52860.294752704765</s:v>
      </s:c>
      <s:c r="F78" s="6">
        <s:f>MIN(B78,E78-D78)</s:f>
        <s:v>35787.86083096295</s:v>
      </s:c>
      <s:c r="G78" s="6">
        <s:f>MAX(0,B78-F78)</s:f>
        <s:v>2012904.2097780546</s:v>
      </s:c>
    </s:row>
    <s:row r="79">
      <s:c r="A79" s="6">
        <s:f>ROW()-4</s:f>
        <s:v>75.0</s:v>
      </s:c>
      <s:c r="B79" s="6">
        <s:f>G78</s:f>
        <s:v>2012904.2097780546</s:v>
      </s:c>
      <s:c r="C79" s="7">
        <s:f>IF(AND(A79&gt;12,'Assumptions'!B31=1),'Assumptions'!B30/12,'Assumptions'!B13/12)</s:f>
        <s:v>0.008333333333333333</s:v>
      </s:c>
      <s:c r="D79" s="6">
        <s:f>B79*C79</s:f>
        <s:v>16774.201748150455</s:v>
      </s:c>
      <s:c r="E79" s="6">
        <s:f>IF(AND(A79&gt;12,'Assumptions'!B31=1),IF(A79=13,-PMT('Assumptions'!B30/12,'Assumptions'!B14-12,B79),E78),-PMT('Assumptions'!B13/12,'Assumptions'!B14,'Assumptions'!B11))</s:f>
        <s:v>52860.294752704765</s:v>
      </s:c>
      <s:c r="F79" s="6">
        <s:f>MIN(B79,E79-D79)</s:f>
        <s:v>36086.09300455431</s:v>
      </s:c>
      <s:c r="G79" s="6">
        <s:f>MAX(0,B79-F79)</s:f>
        <s:v>1976818.1167735003</s:v>
      </s:c>
    </s:row>
    <s:row r="80">
      <s:c r="A80" s="6">
        <s:f>ROW()-4</s:f>
        <s:v>76.0</s:v>
      </s:c>
      <s:c r="B80" s="6">
        <s:f>G79</s:f>
        <s:v>1976818.1167735003</s:v>
      </s:c>
      <s:c r="C80" s="7">
        <s:f>IF(AND(A80&gt;12,'Assumptions'!B31=1),'Assumptions'!B30/12,'Assumptions'!B13/12)</s:f>
        <s:v>0.008333333333333333</s:v>
      </s:c>
      <s:c r="D80" s="6">
        <s:f>B80*C80</s:f>
        <s:v>16473.484306445836</s:v>
      </s:c>
      <s:c r="E80" s="6">
        <s:f>IF(AND(A80&gt;12,'Assumptions'!B31=1),IF(A80=13,-PMT('Assumptions'!B30/12,'Assumptions'!B14-12,B80),E79),-PMT('Assumptions'!B13/12,'Assumptions'!B14,'Assumptions'!B11))</s:f>
        <s:v>52860.294752704765</s:v>
      </s:c>
      <s:c r="F80" s="6">
        <s:f>MIN(B80,E80-D80)</s:f>
        <s:v>36386.810446258925</s:v>
      </s:c>
      <s:c r="G80" s="6">
        <s:f>MAX(0,B80-F80)</s:f>
        <s:v>1940431.3063272415</s:v>
      </s:c>
    </s:row>
    <s:row r="81">
      <s:c r="A81" s="6">
        <s:f>ROW()-4</s:f>
        <s:v>77.0</s:v>
      </s:c>
      <s:c r="B81" s="6">
        <s:f>G80</s:f>
        <s:v>1940431.3063272415</s:v>
      </s:c>
      <s:c r="C81" s="7">
        <s:f>IF(AND(A81&gt;12,'Assumptions'!B31=1),'Assumptions'!B30/12,'Assumptions'!B13/12)</s:f>
        <s:v>0.008333333333333333</s:v>
      </s:c>
      <s:c r="D81" s="6">
        <s:f>B81*C81</s:f>
        <s:v>16170.260886060345</s:v>
      </s:c>
      <s:c r="E81" s="6">
        <s:f>IF(AND(A81&gt;12,'Assumptions'!B31=1),IF(A81=13,-PMT('Assumptions'!B30/12,'Assumptions'!B14-12,B81),E80),-PMT('Assumptions'!B13/12,'Assumptions'!B14,'Assumptions'!B11))</s:f>
        <s:v>52860.294752704765</s:v>
      </s:c>
      <s:c r="F81" s="6">
        <s:f>MIN(B81,E81-D81)</s:f>
        <s:v>36690.03386664442</s:v>
      </s:c>
      <s:c r="G81" s="6">
        <s:f>MAX(0,B81-F81)</s:f>
        <s:v>1903741.272460597</s:v>
      </s:c>
    </s:row>
    <s:row r="82">
      <s:c r="A82" s="6">
        <s:f>ROW()-4</s:f>
        <s:v>78.0</s:v>
      </s:c>
      <s:c r="B82" s="6">
        <s:f>G81</s:f>
        <s:v>1903741.272460597</s:v>
      </s:c>
      <s:c r="C82" s="7">
        <s:f>IF(AND(A82&gt;12,'Assumptions'!B31=1),'Assumptions'!B30/12,'Assumptions'!B13/12)</s:f>
        <s:v>0.008333333333333333</s:v>
      </s:c>
      <s:c r="D82" s="6">
        <s:f>B82*C82</s:f>
        <s:v>15864.51060383831</s:v>
      </s:c>
      <s:c r="E82" s="6">
        <s:f>IF(AND(A82&gt;12,'Assumptions'!B31=1),IF(A82=13,-PMT('Assumptions'!B30/12,'Assumptions'!B14-12,B82),E81),-PMT('Assumptions'!B13/12,'Assumptions'!B14,'Assumptions'!B11))</s:f>
        <s:v>52860.294752704765</s:v>
      </s:c>
      <s:c r="F82" s="6">
        <s:f>MIN(B82,E82-D82)</s:f>
        <s:v>36995.784148866456</s:v>
      </s:c>
      <s:c r="G82" s="6">
        <s:f>MAX(0,B82-F82)</s:f>
        <s:v>1866745.4883117306</s:v>
      </s:c>
    </s:row>
    <s:row r="83">
      <s:c r="A83" s="6">
        <s:f>ROW()-4</s:f>
        <s:v>79.0</s:v>
      </s:c>
      <s:c r="B83" s="6">
        <s:f>G82</s:f>
        <s:v>1866745.4883117306</s:v>
      </s:c>
      <s:c r="C83" s="7">
        <s:f>IF(AND(A83&gt;12,'Assumptions'!B31=1),'Assumptions'!B30/12,'Assumptions'!B13/12)</s:f>
        <s:v>0.008333333333333333</s:v>
      </s:c>
      <s:c r="D83" s="6">
        <s:f>B83*C83</s:f>
        <s:v>15556.212402597754</s:v>
      </s:c>
      <s:c r="E83" s="6">
        <s:f>IF(AND(A83&gt;12,'Assumptions'!B31=1),IF(A83=13,-PMT('Assumptions'!B30/12,'Assumptions'!B14-12,B83),E82),-PMT('Assumptions'!B13/12,'Assumptions'!B14,'Assumptions'!B11))</s:f>
        <s:v>52860.294752704765</s:v>
      </s:c>
      <s:c r="F83" s="6">
        <s:f>MIN(B83,E83-D83)</s:f>
        <s:v>37304.08235010701</s:v>
      </s:c>
      <s:c r="G83" s="6">
        <s:f>MAX(0,B83-F83)</s:f>
        <s:v>1829441.4059616236</s:v>
      </s:c>
    </s:row>
    <s:row r="84">
      <s:c r="A84" s="6">
        <s:f>ROW()-4</s:f>
        <s:v>80.0</s:v>
      </s:c>
      <s:c r="B84" s="6">
        <s:f>G83</s:f>
        <s:v>1829441.4059616236</s:v>
      </s:c>
      <s:c r="C84" s="7">
        <s:f>IF(AND(A84&gt;12,'Assumptions'!B31=1),'Assumptions'!B30/12,'Assumptions'!B13/12)</s:f>
        <s:v>0.008333333333333333</s:v>
      </s:c>
      <s:c r="D84" s="6">
        <s:f>B84*C84</s:f>
        <s:v>15245.345049680196</s:v>
      </s:c>
      <s:c r="E84" s="6">
        <s:f>IF(AND(A84&gt;12,'Assumptions'!B31=1),IF(A84=13,-PMT('Assumptions'!B30/12,'Assumptions'!B14-12,B84),E83),-PMT('Assumptions'!B13/12,'Assumptions'!B14,'Assumptions'!B11))</s:f>
        <s:v>52860.294752704765</s:v>
      </s:c>
      <s:c r="F84" s="6">
        <s:f>MIN(B84,E84-D84)</s:f>
        <s:v>37614.94970302457</s:v>
      </s:c>
      <s:c r="G84" s="6">
        <s:f>MAX(0,B84-F84)</s:f>
        <s:v>1791826.4562585992</s:v>
      </s:c>
    </s:row>
    <s:row r="85">
      <s:c r="A85" s="6">
        <s:f>ROW()-4</s:f>
        <s:v>81.0</s:v>
      </s:c>
      <s:c r="B85" s="6">
        <s:f>G84</s:f>
        <s:v>1791826.4562585992</s:v>
      </s:c>
      <s:c r="C85" s="7">
        <s:f>IF(AND(A85&gt;12,'Assumptions'!B31=1),'Assumptions'!B30/12,'Assumptions'!B13/12)</s:f>
        <s:v>0.008333333333333333</s:v>
      </s:c>
      <s:c r="D85" s="6">
        <s:f>B85*C85</s:f>
        <s:v>14931.887135488327</s:v>
      </s:c>
      <s:c r="E85" s="6">
        <s:f>IF(AND(A85&gt;12,'Assumptions'!B31=1),IF(A85=13,-PMT('Assumptions'!B30/12,'Assumptions'!B14-12,B85),E84),-PMT('Assumptions'!B13/12,'Assumptions'!B14,'Assumptions'!B11))</s:f>
        <s:v>52860.294752704765</s:v>
      </s:c>
      <s:c r="F85" s="6">
        <s:f>MIN(B85,E85-D85)</s:f>
        <s:v>37928.407617216435</s:v>
      </s:c>
      <s:c r="G85" s="6">
        <s:f>MAX(0,B85-F85)</s:f>
        <s:v>1753898.0486413827</s:v>
      </s:c>
    </s:row>
    <s:row r="86">
      <s:c r="A86" s="6">
        <s:f>ROW()-4</s:f>
        <s:v>82.0</s:v>
      </s:c>
      <s:c r="B86" s="6">
        <s:f>G85</s:f>
        <s:v>1753898.0486413827</s:v>
      </s:c>
      <s:c r="C86" s="7">
        <s:f>IF(AND(A86&gt;12,'Assumptions'!B31=1),'Assumptions'!B30/12,'Assumptions'!B13/12)</s:f>
        <s:v>0.008333333333333333</s:v>
      </s:c>
      <s:c r="D86" s="6">
        <s:f>B86*C86</s:f>
        <s:v>14615.817072011523</s:v>
      </s:c>
      <s:c r="E86" s="6">
        <s:f>IF(AND(A86&gt;12,'Assumptions'!B31=1),IF(A86=13,-PMT('Assumptions'!B30/12,'Assumptions'!B14-12,B86),E85),-PMT('Assumptions'!B13/12,'Assumptions'!B14,'Assumptions'!B11))</s:f>
        <s:v>52860.294752704765</s:v>
      </s:c>
      <s:c r="F86" s="6">
        <s:f>MIN(B86,E86-D86)</s:f>
        <s:v>38244.47768069324</s:v>
      </s:c>
      <s:c r="G86" s="6">
        <s:f>MAX(0,B86-F86)</s:f>
        <s:v>1715653.5709606896</s:v>
      </s:c>
    </s:row>
    <s:row r="87">
      <s:c r="A87" s="6">
        <s:f>ROW()-4</s:f>
        <s:v>83.0</s:v>
      </s:c>
      <s:c r="B87" s="6">
        <s:f>G86</s:f>
        <s:v>1715653.5709606896</s:v>
      </s:c>
      <s:c r="C87" s="7">
        <s:f>IF(AND(A87&gt;12,'Assumptions'!B31=1),'Assumptions'!B30/12,'Assumptions'!B13/12)</s:f>
        <s:v>0.008333333333333333</s:v>
      </s:c>
      <s:c r="D87" s="6">
        <s:f>B87*C87</s:f>
        <s:v>14297.113091339079</s:v>
      </s:c>
      <s:c r="E87" s="6">
        <s:f>IF(AND(A87&gt;12,'Assumptions'!B31=1),IF(A87=13,-PMT('Assumptions'!B30/12,'Assumptions'!B14-12,B87),E86),-PMT('Assumptions'!B13/12,'Assumptions'!B14,'Assumptions'!B11))</s:f>
        <s:v>52860.294752704765</s:v>
      </s:c>
      <s:c r="F87" s="6">
        <s:f>MIN(B87,E87-D87)</s:f>
        <s:v>38563.181661365685</s:v>
      </s:c>
      <s:c r="G87" s="6">
        <s:f>MAX(0,B87-F87)</s:f>
        <s:v>1677090.3892993238</s:v>
      </s:c>
    </s:row>
    <s:row r="88">
      <s:c r="A88" s="6">
        <s:f>ROW()-4</s:f>
        <s:v>84.0</s:v>
      </s:c>
      <s:c r="B88" s="6">
        <s:f>G87</s:f>
        <s:v>1677090.3892993238</s:v>
      </s:c>
      <s:c r="C88" s="7">
        <s:f>IF(AND(A88&gt;12,'Assumptions'!B31=1),'Assumptions'!B30/12,'Assumptions'!B13/12)</s:f>
        <s:v>0.008333333333333333</s:v>
      </s:c>
      <s:c r="D88" s="6">
        <s:f>B88*C88</s:f>
        <s:v>13975.753244161031</s:v>
      </s:c>
      <s:c r="E88" s="6">
        <s:f>IF(AND(A88&gt;12,'Assumptions'!B31=1),IF(A88=13,-PMT('Assumptions'!B30/12,'Assumptions'!B14-12,B88),E87),-PMT('Assumptions'!B13/12,'Assumptions'!B14,'Assumptions'!B11))</s:f>
        <s:v>52860.294752704765</s:v>
      </s:c>
      <s:c r="F88" s="6">
        <s:f>MIN(B88,E88-D88)</s:f>
        <s:v>38884.541508543734</s:v>
      </s:c>
      <s:c r="G88" s="6">
        <s:f>MAX(0,B88-F88)</s:f>
        <s:v>1638205.84779078</s:v>
      </s:c>
    </s:row>
    <s:row r="89">
      <s:c r="A89" s="6">
        <s:f>ROW()-4</s:f>
        <s:v>85.0</s:v>
      </s:c>
      <s:c r="B89" s="6">
        <s:f>G88</s:f>
        <s:v>1638205.84779078</s:v>
      </s:c>
      <s:c r="C89" s="7">
        <s:f>IF(AND(A89&gt;12,'Assumptions'!B31=1),'Assumptions'!B30/12,'Assumptions'!B13/12)</s:f>
        <s:v>0.008333333333333333</s:v>
      </s:c>
      <s:c r="D89" s="6">
        <s:f>B89*C89</s:f>
        <s:v>13651.7153982565</s:v>
      </s:c>
      <s:c r="E89" s="6">
        <s:f>IF(AND(A89&gt;12,'Assumptions'!B31=1),IF(A89=13,-PMT('Assumptions'!B30/12,'Assumptions'!B14-12,B89),E88),-PMT('Assumptions'!B13/12,'Assumptions'!B14,'Assumptions'!B11))</s:f>
        <s:v>52860.294752704765</s:v>
      </s:c>
      <s:c r="F89" s="6">
        <s:f>MIN(B89,E89-D89)</s:f>
        <s:v>39208.579354448266</s:v>
      </s:c>
      <s:c r="G89" s="6">
        <s:f>MAX(0,B89-F89)</s:f>
        <s:v>1598997.2684363318</s:v>
      </s:c>
    </s:row>
    <s:row r="90">
      <s:c r="A90" s="6">
        <s:f>ROW()-4</s:f>
        <s:v>86.0</s:v>
      </s:c>
      <s:c r="B90" s="6">
        <s:f>G89</s:f>
        <s:v>1598997.2684363318</s:v>
      </s:c>
      <s:c r="C90" s="7">
        <s:f>IF(AND(A90&gt;12,'Assumptions'!B31=1),'Assumptions'!B30/12,'Assumptions'!B13/12)</s:f>
        <s:v>0.008333333333333333</s:v>
      </s:c>
      <s:c r="D90" s="6">
        <s:f>B90*C90</s:f>
        <s:v>13324.977236969431</s:v>
      </s:c>
      <s:c r="E90" s="6">
        <s:f>IF(AND(A90&gt;12,'Assumptions'!B31=1),IF(A90=13,-PMT('Assumptions'!B30/12,'Assumptions'!B14-12,B90),E89),-PMT('Assumptions'!B13/12,'Assumptions'!B14,'Assumptions'!B11))</s:f>
        <s:v>52860.294752704765</s:v>
      </s:c>
      <s:c r="F90" s="6">
        <s:f>MIN(B90,E90-D90)</s:f>
        <s:v>39535.31751573533</s:v>
      </s:c>
      <s:c r="G90" s="6">
        <s:f>MAX(0,B90-F90)</s:f>
        <s:v>1559461.9509205965</s:v>
      </s:c>
    </s:row>
    <s:row r="91">
      <s:c r="A91" s="6">
        <s:f>ROW()-4</s:f>
        <s:v>87.0</s:v>
      </s:c>
      <s:c r="B91" s="6">
        <s:f>G90</s:f>
        <s:v>1559461.9509205965</s:v>
      </s:c>
      <s:c r="C91" s="7">
        <s:f>IF(AND(A91&gt;12,'Assumptions'!B31=1),'Assumptions'!B30/12,'Assumptions'!B13/12)</s:f>
        <s:v>0.008333333333333333</s:v>
      </s:c>
      <s:c r="D91" s="6">
        <s:f>B91*C91</s:f>
        <s:v>12995.516257671638</s:v>
      </s:c>
      <s:c r="E91" s="6">
        <s:f>IF(AND(A91&gt;12,'Assumptions'!B31=1),IF(A91=13,-PMT('Assumptions'!B30/12,'Assumptions'!B14-12,B91),E90),-PMT('Assumptions'!B13/12,'Assumptions'!B14,'Assumptions'!B11))</s:f>
        <s:v>52860.294752704765</s:v>
      </s:c>
      <s:c r="F91" s="6">
        <s:f>MIN(B91,E91-D91)</s:f>
        <s:v>39864.778495033126</s:v>
      </s:c>
      <s:c r="G91" s="6">
        <s:f>MAX(0,B91-F91)</s:f>
        <s:v>1519597.1724255634</s:v>
      </s:c>
    </s:row>
    <s:row r="92">
      <s:c r="A92" s="6">
        <s:f>ROW()-4</s:f>
        <s:v>88.0</s:v>
      </s:c>
      <s:c r="B92" s="6">
        <s:f>G91</s:f>
        <s:v>1519597.1724255634</s:v>
      </s:c>
      <s:c r="C92" s="7">
        <s:f>IF(AND(A92&gt;12,'Assumptions'!B31=1),'Assumptions'!B30/12,'Assumptions'!B13/12)</s:f>
        <s:v>0.008333333333333333</s:v>
      </s:c>
      <s:c r="D92" s="6">
        <s:f>B92*C92</s:f>
        <s:v>12663.309770213029</s:v>
      </s:c>
      <s:c r="E92" s="6">
        <s:f>IF(AND(A92&gt;12,'Assumptions'!B31=1),IF(A92=13,-PMT('Assumptions'!B30/12,'Assumptions'!B14-12,B92),E91),-PMT('Assumptions'!B13/12,'Assumptions'!B14,'Assumptions'!B11))</s:f>
        <s:v>52860.294752704765</s:v>
      </s:c>
      <s:c r="F92" s="6">
        <s:f>MIN(B92,E92-D92)</s:f>
        <s:v>40196.98498249173</s:v>
      </s:c>
      <s:c r="G92" s="6">
        <s:f>MAX(0,B92-F92)</s:f>
        <s:v>1479400.1874430717</s:v>
      </s:c>
    </s:row>
    <s:row r="93">
      <s:c r="A93" s="6">
        <s:f>ROW()-4</s:f>
        <s:v>89.0</s:v>
      </s:c>
      <s:c r="B93" s="6">
        <s:f>G92</s:f>
        <s:v>1479400.1874430717</s:v>
      </s:c>
      <s:c r="C93" s="7">
        <s:f>IF(AND(A93&gt;12,'Assumptions'!B31=1),'Assumptions'!B30/12,'Assumptions'!B13/12)</s:f>
        <s:v>0.008333333333333333</s:v>
      </s:c>
      <s:c r="D93" s="6">
        <s:f>B93*C93</s:f>
        <s:v>12328.33489535893</s:v>
      </s:c>
      <s:c r="E93" s="6">
        <s:f>IF(AND(A93&gt;12,'Assumptions'!B31=1),IF(A93=13,-PMT('Assumptions'!B30/12,'Assumptions'!B14-12,B93),E92),-PMT('Assumptions'!B13/12,'Assumptions'!B14,'Assumptions'!B11))</s:f>
        <s:v>52860.294752704765</s:v>
      </s:c>
      <s:c r="F93" s="6">
        <s:f>MIN(B93,E93-D93)</s:f>
        <s:v>40531.959857345835</s:v>
      </s:c>
      <s:c r="G93" s="6">
        <s:f>MAX(0,B93-F93)</s:f>
        <s:v>1438868.227585726</s:v>
      </s:c>
    </s:row>
    <s:row r="94">
      <s:c r="A94" s="6">
        <s:f>ROW()-4</s:f>
        <s:v>90.0</s:v>
      </s:c>
      <s:c r="B94" s="6">
        <s:f>G93</s:f>
        <s:v>1438868.227585726</s:v>
      </s:c>
      <s:c r="C94" s="7">
        <s:f>IF(AND(A94&gt;12,'Assumptions'!B31=1),'Assumptions'!B30/12,'Assumptions'!B13/12)</s:f>
        <s:v>0.008333333333333333</s:v>
      </s:c>
      <s:c r="D94" s="6">
        <s:f>B94*C94</s:f>
        <s:v>11990.568563214383</s:v>
      </s:c>
      <s:c r="E94" s="6">
        <s:f>IF(AND(A94&gt;12,'Assumptions'!B31=1),IF(A94=13,-PMT('Assumptions'!B30/12,'Assumptions'!B14-12,B94),E93),-PMT('Assumptions'!B13/12,'Assumptions'!B14,'Assumptions'!B11))</s:f>
        <s:v>52860.294752704765</s:v>
      </s:c>
      <s:c r="F94" s="6">
        <s:f>MIN(B94,E94-D94)</s:f>
        <s:v>40869.72618949038</s:v>
      </s:c>
      <s:c r="G94" s="6">
        <s:f>MAX(0,B94-F94)</s:f>
        <s:v>1397998.5013962355</s:v>
      </s:c>
    </s:row>
    <s:row r="95">
      <s:c r="A95" s="6">
        <s:f>ROW()-4</s:f>
        <s:v>91.0</s:v>
      </s:c>
      <s:c r="B95" s="6">
        <s:f>G94</s:f>
        <s:v>1397998.5013962355</s:v>
      </s:c>
      <s:c r="C95" s="7">
        <s:f>IF(AND(A95&gt;12,'Assumptions'!B31=1),'Assumptions'!B30/12,'Assumptions'!B13/12)</s:f>
        <s:v>0.008333333333333333</s:v>
      </s:c>
      <s:c r="D95" s="6">
        <s:f>B95*C95</s:f>
        <s:v>11649.987511635296</s:v>
      </s:c>
      <s:c r="E95" s="6">
        <s:f>IF(AND(A95&gt;12,'Assumptions'!B31=1),IF(A95=13,-PMT('Assumptions'!B30/12,'Assumptions'!B14-12,B95),E94),-PMT('Assumptions'!B13/12,'Assumptions'!B14,'Assumptions'!B11))</s:f>
        <s:v>52860.294752704765</s:v>
      </s:c>
      <s:c r="F95" s="6">
        <s:f>MIN(B95,E95-D95)</s:f>
        <s:v>41210.30724106947</s:v>
      </s:c>
      <s:c r="G95" s="6">
        <s:f>MAX(0,B95-F95)</s:f>
        <s:v>1356788.1941551662</s:v>
      </s:c>
    </s:row>
    <s:row r="96">
      <s:c r="A96" s="6">
        <s:f>ROW()-4</s:f>
        <s:v>92.0</s:v>
      </s:c>
      <s:c r="B96" s="6">
        <s:f>G95</s:f>
        <s:v>1356788.1941551662</s:v>
      </s:c>
      <s:c r="C96" s="7">
        <s:f>IF(AND(A96&gt;12,'Assumptions'!B31=1),'Assumptions'!B30/12,'Assumptions'!B13/12)</s:f>
        <s:v>0.008333333333333333</s:v>
      </s:c>
      <s:c r="D96" s="6">
        <s:f>B96*C96</s:f>
        <s:v>11306.568284626384</s:v>
      </s:c>
      <s:c r="E96" s="6">
        <s:f>IF(AND(A96&gt;12,'Assumptions'!B31=1),IF(A96=13,-PMT('Assumptions'!B30/12,'Assumptions'!B14-12,B96),E95),-PMT('Assumptions'!B13/12,'Assumptions'!B14,'Assumptions'!B11))</s:f>
        <s:v>52860.294752704765</s:v>
      </s:c>
      <s:c r="F96" s="6">
        <s:f>MIN(B96,E96-D96)</s:f>
        <s:v>41553.726468078385</s:v>
      </s:c>
      <s:c r="G96" s="6">
        <s:f>MAX(0,B96-F96)</s:f>
        <s:v>1315234.4676870878</s:v>
      </s:c>
    </s:row>
    <s:row r="97">
      <s:c r="A97" s="6">
        <s:f>ROW()-4</s:f>
        <s:v>93.0</s:v>
      </s:c>
      <s:c r="B97" s="6">
        <s:f>G96</s:f>
        <s:v>1315234.4676870878</s:v>
      </s:c>
      <s:c r="C97" s="7">
        <s:f>IF(AND(A97&gt;12,'Assumptions'!B31=1),'Assumptions'!B30/12,'Assumptions'!B13/12)</s:f>
        <s:v>0.008333333333333333</s:v>
      </s:c>
      <s:c r="D97" s="6">
        <s:f>B97*C97</s:f>
        <s:v>10960.287230725731</s:v>
      </s:c>
      <s:c r="E97" s="6">
        <s:f>IF(AND(A97&gt;12,'Assumptions'!B31=1),IF(A97=13,-PMT('Assumptions'!B30/12,'Assumptions'!B14-12,B97),E96),-PMT('Assumptions'!B13/12,'Assumptions'!B14,'Assumptions'!B11))</s:f>
        <s:v>52860.294752704765</s:v>
      </s:c>
      <s:c r="F97" s="6">
        <s:f>MIN(B97,E97-D97)</s:f>
        <s:v>41900.00752197903</s:v>
      </s:c>
      <s:c r="G97" s="6">
        <s:f>MAX(0,B97-F97)</s:f>
        <s:v>1273334.4601651088</s:v>
      </s:c>
    </s:row>
    <s:row r="98">
      <s:c r="A98" s="6">
        <s:f>ROW()-4</s:f>
        <s:v>94.0</s:v>
      </s:c>
      <s:c r="B98" s="6">
        <s:f>G97</s:f>
        <s:v>1273334.4601651088</s:v>
      </s:c>
      <s:c r="C98" s="7">
        <s:f>IF(AND(A98&gt;12,'Assumptions'!B31=1),'Assumptions'!B30/12,'Assumptions'!B13/12)</s:f>
        <s:v>0.008333333333333333</s:v>
      </s:c>
      <s:c r="D98" s="6">
        <s:f>B98*C98</s:f>
        <s:v>10611.120501375906</s:v>
      </s:c>
      <s:c r="E98" s="6">
        <s:f>IF(AND(A98&gt;12,'Assumptions'!B31=1),IF(A98=13,-PMT('Assumptions'!B30/12,'Assumptions'!B14-12,B98),E97),-PMT('Assumptions'!B13/12,'Assumptions'!B14,'Assumptions'!B11))</s:f>
        <s:v>52860.294752704765</s:v>
      </s:c>
      <s:c r="F98" s="6">
        <s:f>MIN(B98,E98-D98)</s:f>
        <s:v>42249.17425132886</s:v>
      </s:c>
      <s:c r="G98" s="6">
        <s:f>MAX(0,B98-F98)</s:f>
        <s:v>1231085.2859137799</s:v>
      </s:c>
    </s:row>
    <s:row r="99">
      <s:c r="A99" s="6">
        <s:f>ROW()-4</s:f>
        <s:v>95.0</s:v>
      </s:c>
      <s:c r="B99" s="6">
        <s:f>G98</s:f>
        <s:v>1231085.2859137799</s:v>
      </s:c>
      <s:c r="C99" s="7">
        <s:f>IF(AND(A99&gt;12,'Assumptions'!B31=1),'Assumptions'!B30/12,'Assumptions'!B13/12)</s:f>
        <s:v>0.008333333333333333</s:v>
      </s:c>
      <s:c r="D99" s="6">
        <s:f>B99*C99</s:f>
        <s:v>10259.0440492815</s:v>
      </s:c>
      <s:c r="E99" s="6">
        <s:f>IF(AND(A99&gt;12,'Assumptions'!B31=1),IF(A99=13,-PMT('Assumptions'!B30/12,'Assumptions'!B14-12,B99),E98),-PMT('Assumptions'!B13/12,'Assumptions'!B14,'Assumptions'!B11))</s:f>
        <s:v>52860.294752704765</s:v>
      </s:c>
      <s:c r="F99" s="6">
        <s:f>MIN(B99,E99-D99)</s:f>
        <s:v>42601.25070342327</s:v>
      </s:c>
      <s:c r="G99" s="6">
        <s:f>MAX(0,B99-F99)</s:f>
        <s:v>1188484.0352103566</s:v>
      </s:c>
    </s:row>
    <s:row r="100">
      <s:c r="A100" s="6">
        <s:f>ROW()-4</s:f>
        <s:v>96.0</s:v>
      </s:c>
      <s:c r="B100" s="6">
        <s:f>G99</s:f>
        <s:v>1188484.0352103566</s:v>
      </s:c>
      <s:c r="C100" s="7">
        <s:f>IF(AND(A100&gt;12,'Assumptions'!B31=1),'Assumptions'!B30/12,'Assumptions'!B13/12)</s:f>
        <s:v>0.008333333333333333</s:v>
      </s:c>
      <s:c r="D100" s="6">
        <s:f>B100*C100</s:f>
        <s:v>9904.033626752971</s:v>
      </s:c>
      <s:c r="E100" s="6">
        <s:f>IF(AND(A100&gt;12,'Assumptions'!B31=1),IF(A100=13,-PMT('Assumptions'!B30/12,'Assumptions'!B14-12,B100),E99),-PMT('Assumptions'!B13/12,'Assumptions'!B14,'Assumptions'!B11))</s:f>
        <s:v>52860.294752704765</s:v>
      </s:c>
      <s:c r="F100" s="6">
        <s:f>MIN(B100,E100-D100)</s:f>
        <s:v>42956.261125951794</s:v>
      </s:c>
      <s:c r="G100" s="6">
        <s:f>MAX(0,B100-F100)</s:f>
        <s:v>1145527.7740844048</s:v>
      </s:c>
    </s:row>
    <s:row r="101">
      <s:c r="A101" s="6">
        <s:f>ROW()-4</s:f>
        <s:v>97.0</s:v>
      </s:c>
      <s:c r="B101" s="6">
        <s:f>G100</s:f>
        <s:v>1145527.7740844048</s:v>
      </s:c>
      <s:c r="C101" s="7">
        <s:f>IF(AND(A101&gt;12,'Assumptions'!B31=1),'Assumptions'!B30/12,'Assumptions'!B13/12)</s:f>
        <s:v>0.008333333333333333</s:v>
      </s:c>
      <s:c r="D101" s="6">
        <s:f>B101*C101</s:f>
        <s:v>9546.064784036707</s:v>
      </s:c>
      <s:c r="E101" s="6">
        <s:f>IF(AND(A101&gt;12,'Assumptions'!B31=1),IF(A101=13,-PMT('Assumptions'!B30/12,'Assumptions'!B14-12,B101),E100),-PMT('Assumptions'!B13/12,'Assumptions'!B14,'Assumptions'!B11))</s:f>
        <s:v>52860.294752704765</s:v>
      </s:c>
      <s:c r="F101" s="6">
        <s:f>MIN(B101,E101-D101)</s:f>
        <s:v>43314.229968668056</s:v>
      </s:c>
      <s:c r="G101" s="6">
        <s:f>MAX(0,B101-F101)</s:f>
        <s:v>1102213.5441157368</s:v>
      </s:c>
    </s:row>
    <s:row r="102">
      <s:c r="A102" s="6">
        <s:f>ROW()-4</s:f>
        <s:v>98.0</s:v>
      </s:c>
      <s:c r="B102" s="6">
        <s:f>G101</s:f>
        <s:v>1102213.5441157368</s:v>
      </s:c>
      <s:c r="C102" s="7">
        <s:f>IF(AND(A102&gt;12,'Assumptions'!B31=1),'Assumptions'!B30/12,'Assumptions'!B13/12)</s:f>
        <s:v>0.008333333333333333</s:v>
      </s:c>
      <s:c r="D102" s="6">
        <s:f>B102*C102</s:f>
        <s:v>9185.11286763114</s:v>
      </s:c>
      <s:c r="E102" s="6">
        <s:f>IF(AND(A102&gt;12,'Assumptions'!B31=1),IF(A102=13,-PMT('Assumptions'!B30/12,'Assumptions'!B14-12,B102),E101),-PMT('Assumptions'!B13/12,'Assumptions'!B14,'Assumptions'!B11))</s:f>
        <s:v>52860.294752704765</s:v>
      </s:c>
      <s:c r="F102" s="6">
        <s:f>MIN(B102,E102-D102)</s:f>
        <s:v>43675.18188507362</s:v>
      </s:c>
      <s:c r="G102" s="6">
        <s:f>MAX(0,B102-F102)</s:f>
        <s:v>1058538.3622306632</s:v>
      </s:c>
    </s:row>
    <s:row r="103">
      <s:c r="A103" s="6">
        <s:f>ROW()-4</s:f>
        <s:v>99.0</s:v>
      </s:c>
      <s:c r="B103" s="6">
        <s:f>G102</s:f>
        <s:v>1058538.3622306632</s:v>
      </s:c>
      <s:c r="C103" s="7">
        <s:f>IF(AND(A103&gt;12,'Assumptions'!B31=1),'Assumptions'!B30/12,'Assumptions'!B13/12)</s:f>
        <s:v>0.008333333333333333</s:v>
      </s:c>
      <s:c r="D103" s="6">
        <s:f>B103*C103</s:f>
        <s:v>8821.15301858886</s:v>
      </s:c>
      <s:c r="E103" s="6">
        <s:f>IF(AND(A103&gt;12,'Assumptions'!B31=1),IF(A103=13,-PMT('Assumptions'!B30/12,'Assumptions'!B14-12,B103),E102),-PMT('Assumptions'!B13/12,'Assumptions'!B14,'Assumptions'!B11))</s:f>
        <s:v>52860.294752704765</s:v>
      </s:c>
      <s:c r="F103" s="6">
        <s:f>MIN(B103,E103-D103)</s:f>
        <s:v>44039.1417341159</s:v>
      </s:c>
      <s:c r="G103" s="6">
        <s:f>MAX(0,B103-F103)</s:f>
        <s:v>1014499.2204965473</s:v>
      </s:c>
    </s:row>
    <s:row r="104">
      <s:c r="A104" s="6">
        <s:f>ROW()-4</s:f>
        <s:v>100.0</s:v>
      </s:c>
      <s:c r="B104" s="6">
        <s:f>G103</s:f>
        <s:v>1014499.2204965473</s:v>
      </s:c>
      <s:c r="C104" s="7">
        <s:f>IF(AND(A104&gt;12,'Assumptions'!B31=1),'Assumptions'!B30/12,'Assumptions'!B13/12)</s:f>
        <s:v>0.008333333333333333</s:v>
      </s:c>
      <s:c r="D104" s="6">
        <s:f>B104*C104</s:f>
        <s:v>8454.16017080456</s:v>
      </s:c>
      <s:c r="E104" s="6">
        <s:f>IF(AND(A104&gt;12,'Assumptions'!B31=1),IF(A104=13,-PMT('Assumptions'!B30/12,'Assumptions'!B14-12,B104),E103),-PMT('Assumptions'!B13/12,'Assumptions'!B14,'Assumptions'!B11))</s:f>
        <s:v>52860.294752704765</s:v>
      </s:c>
      <s:c r="F104" s="6">
        <s:f>MIN(B104,E104-D104)</s:f>
        <s:v>44406.1345819002</s:v>
      </s:c>
      <s:c r="G104" s="6">
        <s:f>MAX(0,B104-F104)</s:f>
        <s:v>970093.0859146471</s:v>
      </s:c>
    </s:row>
    <s:row r="105">
      <s:c r="A105" s="6">
        <s:f>ROW()-4</s:f>
        <s:v>101.0</s:v>
      </s:c>
      <s:c r="B105" s="6">
        <s:f>G104</s:f>
        <s:v>970093.0859146471</s:v>
      </s:c>
      <s:c r="C105" s="7">
        <s:f>IF(AND(A105&gt;12,'Assumptions'!B31=1),'Assumptions'!B30/12,'Assumptions'!B13/12)</s:f>
        <s:v>0.008333333333333333</s:v>
      </s:c>
      <s:c r="D105" s="6">
        <s:f>B105*C105</s:f>
        <s:v>8084.109049288726</s:v>
      </s:c>
      <s:c r="E105" s="6">
        <s:f>IF(AND(A105&gt;12,'Assumptions'!B31=1),IF(A105=13,-PMT('Assumptions'!B30/12,'Assumptions'!B14-12,B105),E104),-PMT('Assumptions'!B13/12,'Assumptions'!B14,'Assumptions'!B11))</s:f>
        <s:v>52860.294752704765</s:v>
      </s:c>
      <s:c r="F105" s="6">
        <s:f>MIN(B105,E105-D105)</s:f>
        <s:v>44776.18570341604</s:v>
      </s:c>
      <s:c r="G105" s="6">
        <s:f>MAX(0,B105-F105)</s:f>
        <s:v>925316.9002112311</s:v>
      </s:c>
    </s:row>
    <s:row r="106">
      <s:c r="A106" s="6">
        <s:f>ROW()-4</s:f>
        <s:v>102.0</s:v>
      </s:c>
      <s:c r="B106" s="6">
        <s:f>G105</s:f>
        <s:v>925316.9002112311</s:v>
      </s:c>
      <s:c r="C106" s="7">
        <s:f>IF(AND(A106&gt;12,'Assumptions'!B31=1),'Assumptions'!B30/12,'Assumptions'!B13/12)</s:f>
        <s:v>0.008333333333333333</s:v>
      </s:c>
      <s:c r="D106" s="6">
        <s:f>B106*C106</s:f>
        <s:v>7710.974168426926</s:v>
      </s:c>
      <s:c r="E106" s="6">
        <s:f>IF(AND(A106&gt;12,'Assumptions'!B31=1),IF(A106=13,-PMT('Assumptions'!B30/12,'Assumptions'!B14-12,B106),E105),-PMT('Assumptions'!B13/12,'Assumptions'!B14,'Assumptions'!B11))</s:f>
        <s:v>52860.294752704765</s:v>
      </s:c>
      <s:c r="F106" s="6">
        <s:f>MIN(B106,E106-D106)</s:f>
        <s:v>45149.32058427784</s:v>
      </s:c>
      <s:c r="G106" s="6">
        <s:f>MAX(0,B106-F106)</s:f>
        <s:v>880167.5796269532</s:v>
      </s:c>
    </s:row>
    <s:row r="107">
      <s:c r="A107" s="6">
        <s:f>ROW()-4</s:f>
        <s:v>103.0</s:v>
      </s:c>
      <s:c r="B107" s="6">
        <s:f>G106</s:f>
        <s:v>880167.5796269532</s:v>
      </s:c>
      <s:c r="C107" s="7">
        <s:f>IF(AND(A107&gt;12,'Assumptions'!B31=1),'Assumptions'!B30/12,'Assumptions'!B13/12)</s:f>
        <s:v>0.008333333333333333</s:v>
      </s:c>
      <s:c r="D107" s="6">
        <s:f>B107*C107</s:f>
        <s:v>7334.72983022461</s:v>
      </s:c>
      <s:c r="E107" s="6">
        <s:f>IF(AND(A107&gt;12,'Assumptions'!B31=1),IF(A107=13,-PMT('Assumptions'!B30/12,'Assumptions'!B14-12,B107),E106),-PMT('Assumptions'!B13/12,'Assumptions'!B14,'Assumptions'!B11))</s:f>
        <s:v>52860.294752704765</s:v>
      </s:c>
      <s:c r="F107" s="6">
        <s:f>MIN(B107,E107-D107)</s:f>
        <s:v>45525.56492248015</s:v>
      </s:c>
      <s:c r="G107" s="6">
        <s:f>MAX(0,B107-F107)</s:f>
        <s:v>834642.0147044731</s:v>
      </s:c>
    </s:row>
    <s:row r="108">
      <s:c r="A108" s="6">
        <s:f>ROW()-4</s:f>
        <s:v>104.0</s:v>
      </s:c>
      <s:c r="B108" s="6">
        <s:f>G107</s:f>
        <s:v>834642.0147044731</s:v>
      </s:c>
      <s:c r="C108" s="7">
        <s:f>IF(AND(A108&gt;12,'Assumptions'!B31=1),'Assumptions'!B30/12,'Assumptions'!B13/12)</s:f>
        <s:v>0.008333333333333333</s:v>
      </s:c>
      <s:c r="D108" s="6">
        <s:f>B108*C108</s:f>
        <s:v>6955.350122537276</s:v>
      </s:c>
      <s:c r="E108" s="6">
        <s:f>IF(AND(A108&gt;12,'Assumptions'!B31=1),IF(A108=13,-PMT('Assumptions'!B30/12,'Assumptions'!B14-12,B108),E107),-PMT('Assumptions'!B13/12,'Assumptions'!B14,'Assumptions'!B11))</s:f>
        <s:v>52860.294752704765</s:v>
      </s:c>
      <s:c r="F108" s="6">
        <s:f>MIN(B108,E108-D108)</s:f>
        <s:v>45904.94463016749</s:v>
      </s:c>
      <s:c r="G108" s="6">
        <s:f>MAX(0,B108-F108)</s:f>
        <s:v>788737.0700743056</s:v>
      </s:c>
    </s:row>
    <s:row r="109">
      <s:c r="A109" s="6">
        <s:f>ROW()-4</s:f>
        <s:v>105.0</s:v>
      </s:c>
      <s:c r="B109" s="6">
        <s:f>G108</s:f>
        <s:v>788737.0700743056</s:v>
      </s:c>
      <s:c r="C109" s="7">
        <s:f>IF(AND(A109&gt;12,'Assumptions'!B31=1),'Assumptions'!B30/12,'Assumptions'!B13/12)</s:f>
        <s:v>0.008333333333333333</s:v>
      </s:c>
      <s:c r="D109" s="6">
        <s:f>B109*C109</s:f>
        <s:v>6572.80891728588</s:v>
      </s:c>
      <s:c r="E109" s="6">
        <s:f>IF(AND(A109&gt;12,'Assumptions'!B31=1),IF(A109=13,-PMT('Assumptions'!B30/12,'Assumptions'!B14-12,B109),E108),-PMT('Assumptions'!B13/12,'Assumptions'!B14,'Assumptions'!B11))</s:f>
        <s:v>52860.294752704765</s:v>
      </s:c>
      <s:c r="F109" s="6">
        <s:f>MIN(B109,E109-D109)</s:f>
        <s:v>46287.485835418884</s:v>
      </s:c>
      <s:c r="G109" s="6">
        <s:f>MAX(0,B109-F109)</s:f>
        <s:v>742449.5842388867</s:v>
      </s:c>
    </s:row>
    <s:row r="110">
      <s:c r="A110" s="6">
        <s:f>ROW()-4</s:f>
        <s:v>106.0</s:v>
      </s:c>
      <s:c r="B110" s="6">
        <s:f>G109</s:f>
        <s:v>742449.5842388867</s:v>
      </s:c>
      <s:c r="C110" s="7">
        <s:f>IF(AND(A110&gt;12,'Assumptions'!B31=1),'Assumptions'!B30/12,'Assumptions'!B13/12)</s:f>
        <s:v>0.008333333333333333</s:v>
      </s:c>
      <s:c r="D110" s="6">
        <s:f>B110*C110</s:f>
        <s:v>6187.079868657389</s:v>
      </s:c>
      <s:c r="E110" s="6">
        <s:f>IF(AND(A110&gt;12,'Assumptions'!B31=1),IF(A110=13,-PMT('Assumptions'!B30/12,'Assumptions'!B14-12,B110),E109),-PMT('Assumptions'!B13/12,'Assumptions'!B14,'Assumptions'!B11))</s:f>
        <s:v>52860.294752704765</s:v>
      </s:c>
      <s:c r="F110" s="6">
        <s:f>MIN(B110,E110-D110)</s:f>
        <s:v>46673.214884047375</s:v>
      </s:c>
      <s:c r="G110" s="6">
        <s:f>MAX(0,B110-F110)</s:f>
        <s:v>695776.3693548393</s:v>
      </s:c>
    </s:row>
    <s:row r="111">
      <s:c r="A111" s="6">
        <s:f>ROW()-4</s:f>
        <s:v>107.0</s:v>
      </s:c>
      <s:c r="B111" s="6">
        <s:f>G110</s:f>
        <s:v>695776.3693548393</s:v>
      </s:c>
      <s:c r="C111" s="7">
        <s:f>IF(AND(A111&gt;12,'Assumptions'!B31=1),'Assumptions'!B30/12,'Assumptions'!B13/12)</s:f>
        <s:v>0.008333333333333333</s:v>
      </s:c>
      <s:c r="D111" s="6">
        <s:f>B111*C111</s:f>
        <s:v>5798.1364112903275</s:v>
      </s:c>
      <s:c r="E111" s="6">
        <s:f>IF(AND(A111&gt;12,'Assumptions'!B31=1),IF(A111=13,-PMT('Assumptions'!B30/12,'Assumptions'!B14-12,B111),E110),-PMT('Assumptions'!B13/12,'Assumptions'!B14,'Assumptions'!B11))</s:f>
        <s:v>52860.294752704765</s:v>
      </s:c>
      <s:c r="F111" s="6">
        <s:f>MIN(B111,E111-D111)</s:f>
        <s:v>47062.15834141444</s:v>
      </s:c>
      <s:c r="G111" s="6">
        <s:f>MAX(0,B111-F111)</s:f>
        <s:v>648714.2110134249</s:v>
      </s:c>
    </s:row>
    <s:row r="112">
      <s:c r="A112" s="6">
        <s:f>ROW()-4</s:f>
        <s:v>108.0</s:v>
      </s:c>
      <s:c r="B112" s="6">
        <s:f>G111</s:f>
        <s:v>648714.2110134249</s:v>
      </s:c>
      <s:c r="C112" s="7">
        <s:f>IF(AND(A112&gt;12,'Assumptions'!B31=1),'Assumptions'!B30/12,'Assumptions'!B13/12)</s:f>
        <s:v>0.008333333333333333</s:v>
      </s:c>
      <s:c r="D112" s="6">
        <s:f>B112*C112</s:f>
        <s:v>5405.951758445208</s:v>
      </s:c>
      <s:c r="E112" s="6">
        <s:f>IF(AND(A112&gt;12,'Assumptions'!B31=1),IF(A112=13,-PMT('Assumptions'!B30/12,'Assumptions'!B14-12,B112),E111),-PMT('Assumptions'!B13/12,'Assumptions'!B14,'Assumptions'!B11))</s:f>
        <s:v>52860.294752704765</s:v>
      </s:c>
      <s:c r="F112" s="6">
        <s:f>MIN(B112,E112-D112)</s:f>
        <s:v>47454.342994259554</s:v>
      </s:c>
      <s:c r="G112" s="6">
        <s:f>MAX(0,B112-F112)</s:f>
        <s:v>601259.8680191654</s:v>
      </s:c>
    </s:row>
    <s:row r="113">
      <s:c r="A113" s="6">
        <s:f>ROW()-4</s:f>
        <s:v>109.0</s:v>
      </s:c>
      <s:c r="B113" s="6">
        <s:f>G112</s:f>
        <s:v>601259.8680191654</s:v>
      </s:c>
      <s:c r="C113" s="7">
        <s:f>IF(AND(A113&gt;12,'Assumptions'!B31=1),'Assumptions'!B30/12,'Assumptions'!B13/12)</s:f>
        <s:v>0.008333333333333333</s:v>
      </s:c>
      <s:c r="D113" s="6">
        <s:f>B113*C113</s:f>
        <s:v>5010.498900159711</s:v>
      </s:c>
      <s:c r="E113" s="6">
        <s:f>IF(AND(A113&gt;12,'Assumptions'!B31=1),IF(A113=13,-PMT('Assumptions'!B30/12,'Assumptions'!B14-12,B113),E112),-PMT('Assumptions'!B13/12,'Assumptions'!B14,'Assumptions'!B11))</s:f>
        <s:v>52860.294752704765</s:v>
      </s:c>
      <s:c r="F113" s="6">
        <s:f>MIN(B113,E113-D113)</s:f>
        <s:v>47849.79585254505</s:v>
      </s:c>
      <s:c r="G113" s="6">
        <s:f>MAX(0,B113-F113)</s:f>
        <s:v>553410.0721666203</s:v>
      </s:c>
    </s:row>
    <s:row r="114">
      <s:c r="A114" s="6">
        <s:f>ROW()-4</s:f>
        <s:v>110.0</s:v>
      </s:c>
      <s:c r="B114" s="6">
        <s:f>G113</s:f>
        <s:v>553410.0721666203</s:v>
      </s:c>
      <s:c r="C114" s="7">
        <s:f>IF(AND(A114&gt;12,'Assumptions'!B31=1),'Assumptions'!B30/12,'Assumptions'!B13/12)</s:f>
        <s:v>0.008333333333333333</s:v>
      </s:c>
      <s:c r="D114" s="6">
        <s:f>B114*C114</s:f>
        <s:v>4611.750601388502</s:v>
      </s:c>
      <s:c r="E114" s="6">
        <s:f>IF(AND(A114&gt;12,'Assumptions'!B31=1),IF(A114=13,-PMT('Assumptions'!B30/12,'Assumptions'!B14-12,B114),E113),-PMT('Assumptions'!B13/12,'Assumptions'!B14,'Assumptions'!B11))</s:f>
        <s:v>52860.294752704765</s:v>
      </s:c>
      <s:c r="F114" s="6">
        <s:f>MIN(B114,E114-D114)</s:f>
        <s:v>48248.544151316266</s:v>
      </s:c>
      <s:c r="G114" s="6">
        <s:f>MAX(0,B114-F114)</s:f>
        <s:v>505161.528015304</s:v>
      </s:c>
    </s:row>
    <s:row r="115">
      <s:c r="A115" s="6">
        <s:f>ROW()-4</s:f>
        <s:v>111.0</s:v>
      </s:c>
      <s:c r="B115" s="6">
        <s:f>G114</s:f>
        <s:v>505161.528015304</s:v>
      </s:c>
      <s:c r="C115" s="7">
        <s:f>IF(AND(A115&gt;12,'Assumptions'!B31=1),'Assumptions'!B30/12,'Assumptions'!B13/12)</s:f>
        <s:v>0.008333333333333333</s:v>
      </s:c>
      <s:c r="D115" s="6">
        <s:f>B115*C115</s:f>
        <s:v>4209.679400127533</s:v>
      </s:c>
      <s:c r="E115" s="6">
        <s:f>IF(AND(A115&gt;12,'Assumptions'!B31=1),IF(A115=13,-PMT('Assumptions'!B30/12,'Assumptions'!B14-12,B115),E114),-PMT('Assumptions'!B13/12,'Assumptions'!B14,'Assumptions'!B11))</s:f>
        <s:v>52860.294752704765</s:v>
      </s:c>
      <s:c r="F115" s="6">
        <s:f>MIN(B115,E115-D115)</s:f>
        <s:v>48650.61535257723</s:v>
      </s:c>
      <s:c r="G115" s="6">
        <s:f>MAX(0,B115-F115)</s:f>
        <s:v>456510.91266272677</s:v>
      </s:c>
    </s:row>
    <s:row r="116">
      <s:c r="A116" s="6">
        <s:f>ROW()-4</s:f>
        <s:v>112.0</s:v>
      </s:c>
      <s:c r="B116" s="6">
        <s:f>G115</s:f>
        <s:v>456510.91266272677</s:v>
      </s:c>
      <s:c r="C116" s="7">
        <s:f>IF(AND(A116&gt;12,'Assumptions'!B31=1),'Assumptions'!B30/12,'Assumptions'!B13/12)</s:f>
        <s:v>0.008333333333333333</s:v>
      </s:c>
      <s:c r="D116" s="6">
        <s:f>B116*C116</s:f>
        <s:v>3804.257605522723</s:v>
      </s:c>
      <s:c r="E116" s="6">
        <s:f>IF(AND(A116&gt;12,'Assumptions'!B31=1),IF(A116=13,-PMT('Assumptions'!B30/12,'Assumptions'!B14-12,B116),E115),-PMT('Assumptions'!B13/12,'Assumptions'!B14,'Assumptions'!B11))</s:f>
        <s:v>52860.294752704765</s:v>
      </s:c>
      <s:c r="F116" s="6">
        <s:f>MIN(B116,E116-D116)</s:f>
        <s:v>49056.03714718204</s:v>
      </s:c>
      <s:c r="G116" s="6">
        <s:f>MAX(0,B116-F116)</s:f>
        <s:v>407454.8755155447</s:v>
      </s:c>
    </s:row>
    <s:row r="117">
      <s:c r="A117" s="6">
        <s:f>ROW()-4</s:f>
        <s:v>113.0</s:v>
      </s:c>
      <s:c r="B117" s="6">
        <s:f>G116</s:f>
        <s:v>407454.8755155447</s:v>
      </s:c>
      <s:c r="C117" s="7">
        <s:f>IF(AND(A117&gt;12,'Assumptions'!B31=1),'Assumptions'!B30/12,'Assumptions'!B13/12)</s:f>
        <s:v>0.008333333333333333</s:v>
      </s:c>
      <s:c r="D117" s="6">
        <s:f>B117*C117</s:f>
        <s:v>3395.4572959628726</s:v>
      </s:c>
      <s:c r="E117" s="6">
        <s:f>IF(AND(A117&gt;12,'Assumptions'!B31=1),IF(A117=13,-PMT('Assumptions'!B30/12,'Assumptions'!B14-12,B117),E116),-PMT('Assumptions'!B13/12,'Assumptions'!B14,'Assumptions'!B11))</s:f>
        <s:v>52860.294752704765</s:v>
      </s:c>
      <s:c r="F117" s="6">
        <s:f>MIN(B117,E117-D117)</s:f>
        <s:v>49464.837456741894</s:v>
      </s:c>
      <s:c r="G117" s="6">
        <s:f>MAX(0,B117-F117)</s:f>
        <s:v>357990.03805880283</s:v>
      </s:c>
    </s:row>
    <s:row r="118">
      <s:c r="A118" s="6">
        <s:f>ROW()-4</s:f>
        <s:v>114.0</s:v>
      </s:c>
      <s:c r="B118" s="6">
        <s:f>G117</s:f>
        <s:v>357990.03805880283</s:v>
      </s:c>
      <s:c r="C118" s="7">
        <s:f>IF(AND(A118&gt;12,'Assumptions'!B31=1),'Assumptions'!B30/12,'Assumptions'!B13/12)</s:f>
        <s:v>0.008333333333333333</s:v>
      </s:c>
      <s:c r="D118" s="6">
        <s:f>B118*C118</s:f>
        <s:v>2983.2503171566905</s:v>
      </s:c>
      <s:c r="E118" s="6">
        <s:f>IF(AND(A118&gt;12,'Assumptions'!B31=1),IF(A118=13,-PMT('Assumptions'!B30/12,'Assumptions'!B14-12,B118),E117),-PMT('Assumptions'!B13/12,'Assumptions'!B14,'Assumptions'!B11))</s:f>
        <s:v>52860.294752704765</s:v>
      </s:c>
      <s:c r="F118" s="6">
        <s:f>MIN(B118,E118-D118)</s:f>
        <s:v>49877.04443554807</s:v>
      </s:c>
      <s:c r="G118" s="6">
        <s:f>MAX(0,B118-F118)</s:f>
        <s:v>308112.99362325476</s:v>
      </s:c>
    </s:row>
    <s:row r="119">
      <s:c r="A119" s="6">
        <s:f>ROW()-4</s:f>
        <s:v>115.0</s:v>
      </s:c>
      <s:c r="B119" s="6">
        <s:f>G118</s:f>
        <s:v>308112.99362325476</s:v>
      </s:c>
      <s:c r="C119" s="7">
        <s:f>IF(AND(A119&gt;12,'Assumptions'!B31=1),'Assumptions'!B30/12,'Assumptions'!B13/12)</s:f>
        <s:v>0.008333333333333333</s:v>
      </s:c>
      <s:c r="D119" s="6">
        <s:f>B119*C119</s:f>
        <s:v>2567.6082801937896</s:v>
      </s:c>
      <s:c r="E119" s="6">
        <s:f>IF(AND(A119&gt;12,'Assumptions'!B31=1),IF(A119=13,-PMT('Assumptions'!B30/12,'Assumptions'!B14-12,B119),E118),-PMT('Assumptions'!B13/12,'Assumptions'!B14,'Assumptions'!B11))</s:f>
        <s:v>52860.294752704765</s:v>
      </s:c>
      <s:c r="F119" s="6">
        <s:f>MIN(B119,E119-D119)</s:f>
        <s:v>50292.68647251098</s:v>
      </s:c>
      <s:c r="G119" s="6">
        <s:f>MAX(0,B119-F119)</s:f>
        <s:v>257820.30715074379</s:v>
      </s:c>
    </s:row>
    <s:row r="120">
      <s:c r="A120" s="6">
        <s:f>ROW()-4</s:f>
        <s:v>116.0</s:v>
      </s:c>
      <s:c r="B120" s="6">
        <s:f>G119</s:f>
        <s:v>257820.30715074379</s:v>
      </s:c>
      <s:c r="C120" s="7">
        <s:f>IF(AND(A120&gt;12,'Assumptions'!B31=1),'Assumptions'!B30/12,'Assumptions'!B13/12)</s:f>
        <s:v>0.008333333333333333</s:v>
      </s:c>
      <s:c r="D120" s="6">
        <s:f>B120*C120</s:f>
        <s:v>2148.5025595895313</s:v>
      </s:c>
      <s:c r="E120" s="6">
        <s:f>IF(AND(A120&gt;12,'Assumptions'!B31=1),IF(A120=13,-PMT('Assumptions'!B30/12,'Assumptions'!B14-12,B120),E119),-PMT('Assumptions'!B13/12,'Assumptions'!B14,'Assumptions'!B11))</s:f>
        <s:v>52860.294752704765</s:v>
      </s:c>
      <s:c r="F120" s="6">
        <s:f>MIN(B120,E120-D120)</s:f>
        <s:v>50711.79219311524</s:v>
      </s:c>
      <s:c r="G120" s="6">
        <s:f>MAX(0,B120-F120)</s:f>
        <s:v>207108.51495762856</s:v>
      </s:c>
    </s:row>
    <s:row r="121">
      <s:c r="A121" s="6">
        <s:f>ROW()-4</s:f>
        <s:v>117.0</s:v>
      </s:c>
      <s:c r="B121" s="6">
        <s:f>G120</s:f>
        <s:v>207108.51495762856</s:v>
      </s:c>
      <s:c r="C121" s="7">
        <s:f>IF(AND(A121&gt;12,'Assumptions'!B31=1),'Assumptions'!B30/12,'Assumptions'!B13/12)</s:f>
        <s:v>0.008333333333333333</s:v>
      </s:c>
      <s:c r="D121" s="6">
        <s:f>B121*C121</s:f>
        <s:v>1725.9042913135713</s:v>
      </s:c>
      <s:c r="E121" s="6">
        <s:f>IF(AND(A121&gt;12,'Assumptions'!B31=1),IF(A121=13,-PMT('Assumptions'!B30/12,'Assumptions'!B14-12,B121),E120),-PMT('Assumptions'!B13/12,'Assumptions'!B14,'Assumptions'!B11))</s:f>
        <s:v>52860.294752704765</s:v>
      </s:c>
      <s:c r="F121" s="6">
        <s:f>MIN(B121,E121-D121)</s:f>
        <s:v>51134.390461391195</s:v>
      </s:c>
      <s:c r="G121" s="6">
        <s:f>MAX(0,B121-F121)</s:f>
        <s:v>155974.12449623737</s:v>
      </s:c>
    </s:row>
    <s:row r="122">
      <s:c r="A122" s="6">
        <s:f>ROW()-4</s:f>
        <s:v>118.0</s:v>
      </s:c>
      <s:c r="B122" s="6">
        <s:f>G121</s:f>
        <s:v>155974.12449623737</s:v>
      </s:c>
      <s:c r="C122" s="7">
        <s:f>IF(AND(A122&gt;12,'Assumptions'!B31=1),'Assumptions'!B30/12,'Assumptions'!B13/12)</s:f>
        <s:v>0.008333333333333333</s:v>
      </s:c>
      <s:c r="D122" s="6">
        <s:f>B122*C122</s:f>
        <s:v>1299.7843708019782</s:v>
      </s:c>
      <s:c r="E122" s="6">
        <s:f>IF(AND(A122&gt;12,'Assumptions'!B31=1),IF(A122=13,-PMT('Assumptions'!B30/12,'Assumptions'!B14-12,B122),E121),-PMT('Assumptions'!B13/12,'Assumptions'!B14,'Assumptions'!B11))</s:f>
        <s:v>52860.294752704765</s:v>
      </s:c>
      <s:c r="F122" s="6">
        <s:f>MIN(B122,E122-D122)</s:f>
        <s:v>51560.510381902786</s:v>
      </s:c>
      <s:c r="G122" s="6">
        <s:f>MAX(0,B122-F122)</s:f>
        <s:v>104413.61411433459</s:v>
      </s:c>
    </s:row>
    <s:row r="123">
      <s:c r="A123" s="6">
        <s:f>ROW()-4</s:f>
        <s:v>119.0</s:v>
      </s:c>
      <s:c r="B123" s="6">
        <s:f>G122</s:f>
        <s:v>104413.61411433459</s:v>
      </s:c>
      <s:c r="C123" s="7">
        <s:f>IF(AND(A123&gt;12,'Assumptions'!B31=1),'Assumptions'!B30/12,'Assumptions'!B13/12)</s:f>
        <s:v>0.008333333333333333</s:v>
      </s:c>
      <s:c r="D123" s="6">
        <s:f>B123*C123</s:f>
        <s:v>870.1134509527882</s:v>
      </s:c>
      <s:c r="E123" s="6">
        <s:f>IF(AND(A123&gt;12,'Assumptions'!B31=1),IF(A123=13,-PMT('Assumptions'!B30/12,'Assumptions'!B14-12,B123),E122),-PMT('Assumptions'!B13/12,'Assumptions'!B14,'Assumptions'!B11))</s:f>
        <s:v>52860.294752704765</s:v>
      </s:c>
      <s:c r="F123" s="6">
        <s:f>MIN(B123,E123-D123)</s:f>
        <s:v>51990.181301751974</s:v>
      </s:c>
      <s:c r="G123" s="6">
        <s:f>MAX(0,B123-F123)</s:f>
        <s:v>52423.432812582614</s:v>
      </s:c>
    </s:row>
    <s:row r="124">
      <s:c r="A124" s="6">
        <s:f>ROW()-4</s:f>
        <s:v>120.0</s:v>
      </s:c>
      <s:c r="B124" s="6">
        <s:f>G123</s:f>
        <s:v>52423.432812582614</s:v>
      </s:c>
      <s:c r="C124" s="7">
        <s:f>IF(AND(A124&gt;12,'Assumptions'!B31=1),'Assumptions'!B30/12,'Assumptions'!B13/12)</s:f>
        <s:v>0.008333333333333333</s:v>
      </s:c>
      <s:c r="D124" s="6">
        <s:f>B124*C124</s:f>
        <s:v>436.86194010485514</s:v>
      </s:c>
      <s:c r="E124" s="6">
        <s:f>IF(AND(A124&gt;12,'Assumptions'!B31=1),IF(A124=13,-PMT('Assumptions'!B30/12,'Assumptions'!B14-12,B124),E123),-PMT('Assumptions'!B13/12,'Assumptions'!B14,'Assumptions'!B11))</s:f>
        <s:v>52860.294752704765</s:v>
      </s:c>
      <s:c r="F124" s="6">
        <s:f>MIN(B124,E124-D124)</s:f>
        <s:v>52423.432812582614</s:v>
      </s:c>
      <s:c r="G124" s="6">
        <s:f>MAX(0,B124-F124)</s:f>
        <s:v>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24"/>
  <s:pageMargins left="0.75" right="0.75" top="1" bottom="1" header="0.5" footer="0.5"/>
</s:worksheet>
</file>

<file path=xl/worksheets/sheet7.xml><?xml version="1.0" encoding="utf-8"?>
<s:worksheet xmlns:s="http://schemas.openxmlformats.org/spreadsheetml/2006/main">
  <s:sheetPr>
    <s:outlinePr summaryBelow="1" summaryRight="1"/>
    <s:pageSetUpPr/>
  </s:sheetPr>
  <s:dimension ref="A1:G9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Seller debt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Opening note</s:t>
        </s:is>
      </s:c>
      <s:c r="B5" s="6">
        <s:f>'Assumptions'!B12</s:f>
        <s:v>400000.0</s:v>
      </s:c>
    </s:row>
    <s:row r="6">
      <s:c r="A6" t="inlineStr">
        <s:is>
          <s:t>Cash service</s:t>
        </s:is>
      </s:c>
      <s:c r="B6" s="4" t="n">
        <s:v>0</s:v>
      </s:c>
    </s:row>
    <s:row r="7">
      <s:c r="A7" t="inlineStr">
        <s:is>
          <s:t>PIK rate</s:t>
        </s:is>
      </s:c>
      <s:c r="B7" s="5" t="n">
        <s:v>0</s:v>
      </s:c>
    </s:row>
    <s:row r="8">
      <s:c r="A8" t="inlineStr">
        <s:is>
          <s:t>Year 5 claim</s:t>
        </s:is>
      </s:c>
      <s:c r="B8" s="6">
        <s:f>B5*(1+B7)^5</s:f>
        <s:v>400000.0</s:v>
      </s:c>
    </s:row>
    <s:row r="9">
      <s:c r="A9" t="inlineStr">
        <s:is>
          <s:t>Status</s:t>
        </s:is>
      </s:c>
      <s:c r="B9" s="3" t="inlineStr">
        <s:is>
          <s:t>Full standby; no current payments, no PIK in base. Pay only after authorized senior extinguishment.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9"/>
  <s:pageMargins left="0.75" right="0.75" top="1" bottom="1" header="0.5" footer="0.5"/>
</s:worksheet>
</file>

<file path=xl/worksheets/sheet8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Operating forecast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Revenue</s:t>
        </s:is>
      </s:c>
      <s:c r="B5" s="6">
        <s:f>'Assumptions'!B18*(1+'Assumptions'!B21)^0*(1-'Assumptions'!B29)</s:f>
        <s:v>8000000.0</s:v>
      </s:c>
      <s:c r="C5" s="6">
        <s:f>'Assumptions'!B18*(1+'Assumptions'!B21)^1*(1-'Assumptions'!B29)</s:f>
        <s:v>8240000.0</s:v>
      </s:c>
      <s:c r="D5" s="6">
        <s:f>'Assumptions'!B18*(1+'Assumptions'!B21)^2*(1-'Assumptions'!B29)</s:f>
        <s:v>8487200.0</s:v>
      </s:c>
      <s:c r="E5" s="6">
        <s:f>'Assumptions'!B18*(1+'Assumptions'!B21)^3*(1-'Assumptions'!B29)</s:f>
        <s:v>8741816.0</s:v>
      </s:c>
      <s:c r="F5" s="6">
        <s:f>'Assumptions'!B18*(1+'Assumptions'!B21)^4*(1-'Assumptions'!B29)</s:f>
        <s:v>9004070.48</s:v>
      </s:c>
    </s:row>
    <s:row r="6">
      <s:c r="A6" t="inlineStr">
        <s:is>
          <s:t>Fixed costs</s:t>
        </s:is>
      </s:c>
      <s:c r="B6" s="6">
        <s:f>'Assumptions'!B20*(1+'Assumptions'!B21)^0</s:f>
        <s:v>2200000.0</s:v>
      </s:c>
      <s:c r="C6" s="6">
        <s:f>'Assumptions'!B20*(1+'Assumptions'!B21)^1</s:f>
        <s:v>2266000.0</s:v>
      </s:c>
      <s:c r="D6" s="6">
        <s:f>'Assumptions'!B20*(1+'Assumptions'!B21)^2</s:f>
        <s:v>2333980.0</s:v>
      </s:c>
      <s:c r="E6" s="6">
        <s:f>'Assumptions'!B20*(1+'Assumptions'!B21)^3</s:f>
        <s:v>2403999.4</s:v>
      </s:c>
      <s:c r="F6" s="6">
        <s:f>'Assumptions'!B20*(1+'Assumptions'!B21)^4</s:f>
        <s:v>2476119.382</s:v>
      </s:c>
    </s:row>
    <s:row r="7">
      <s:c r="A7" t="inlineStr">
        <s:is>
          <s:t>EBITDA</s:t>
        </s:is>
      </s:c>
      <s:c r="B7" s="6">
        <s:f>'Operating forecast'!B5*(1-'Assumptions'!B19)-'Operating forecast'!B6</s:f>
        <s:v>1399999.9999999995</s:v>
      </s:c>
      <s:c r="C7" s="6">
        <s:f>'Operating forecast'!C5*(1-'Assumptions'!B19)-'Operating forecast'!C6</s:f>
        <s:v>1441999.9999999995</s:v>
      </s:c>
      <s:c r="D7" s="6">
        <s:f>'Operating forecast'!D5*(1-'Assumptions'!B19)-'Operating forecast'!D6</s:f>
        <s:v>1485259.9999999995</s:v>
      </s:c>
      <s:c r="E7" s="6">
        <s:f>'Operating forecast'!E5*(1-'Assumptions'!B19)-'Operating forecast'!E6</s:f>
        <s:v>1529817.7999999998</s:v>
      </s:c>
      <s:c r="F7" s="6">
        <s:f>'Operating forecast'!F5*(1-'Assumptions'!B19)-'Operating forecast'!F6</s:f>
        <s:v>1575712.3339999998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9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Cash taxes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Senior interest</s:t>
        </s:is>
      </s:c>
      <s:c r="B5" s="6">
        <s:f>SUM('Senior debt amortization'!D5:D16)</s:f>
        <s:v>388956.1736688272</s:v>
      </s:c>
      <s:c r="C5" s="6">
        <s:f>SUM('Senior debt amortization'!D17:D28)</s:f>
        <s:v>363263.00440103817</s:v>
      </s:c>
      <s:c r="D5" s="6">
        <s:f>SUM('Senior debt amortization'!D29:D40)</s:f>
        <s:v>334879.42456693045</s:v>
      </s:c>
      <s:c r="E5" s="6">
        <s:f>SUM('Senior debt amortization'!D41:D52)</s:f>
        <s:v>303523.7130234284</s:v>
      </s:c>
      <s:c r="F5" s="6">
        <s:f>SUM('Senior debt amortization'!D53:D64)</s:f>
        <s:v>268884.64874240174</s:v>
      </s:c>
    </s:row>
    <s:row r="6">
      <s:c r="A6" t="inlineStr">
        <s:is>
          <s:t>Cash taxes</s:t>
        </s:is>
      </s:c>
      <s:c r="B6" s="6">
        <s:f>MAX(0,('Operating forecast'!B7-'Assumptions'!B22-'Cash taxes'!B5)*'Assumptions'!B17)</s:f>
        <s:v>202760.9565827931</s:v>
      </s:c>
      <s:c r="C6" s="6">
        <s:f>MAX(0,('Operating forecast'!C7-'Assumptions'!B22-'Cash taxes'!C5)*'Assumptions'!B17)</s:f>
        <s:v>219684.24889974034</s:v>
      </s:c>
      <s:c r="D6" s="6">
        <s:f>MAX(0,('Operating forecast'!D7-'Assumptions'!B22-'Cash taxes'!D5)*'Assumptions'!B17)</s:f>
        <s:v>237595.14385826729</s:v>
      </s:c>
      <s:c r="E6" s="6">
        <s:f>MAX(0,('Operating forecast'!E7-'Assumptions'!B22-'Cash taxes'!E5)*'Assumptions'!B17)</s:f>
        <s:v>256573.52174414287</s:v>
      </s:c>
      <s:c r="F6" s="6">
        <s:f>MAX(0,('Operating forecast'!F7-'Assumptions'!B22-'Cash taxes'!F5)*'Assumptions'!B17)</s:f>
        <s:v>276706.9213143995</s:v>
      </s:c>
    </s:row>
    <s:row r="7">
      <s:c r="A7" t="inlineStr">
        <s:is>
          <s:t>Interest tax shield</s:t>
        </s:is>
      </s:c>
      <s:c r="B7" s="6">
        <s:f>'Cash taxes'!B5*'Assumptions'!B17</s:f>
        <s:v>97239.0434172068</s:v>
      </s:c>
      <s:c r="C7" s="6">
        <s:f>'Cash taxes'!C5*'Assumptions'!B17</s:f>
        <s:v>90815.75110025954</s:v>
      </s:c>
      <s:c r="D7" s="6">
        <s:f>'Cash taxes'!D5*'Assumptions'!B17</s:f>
        <s:v>83719.85614173261</s:v>
      </s:c>
      <s:c r="E7" s="6">
        <s:f>'Cash taxes'!E5*'Assumptions'!B17</s:f>
        <s:v>75880.9282558571</s:v>
      </s:c>
      <s:c r="F7" s="6">
        <s:f>'Cash taxes'!F5*'Assumptions'!B17</s:f>
        <s:v>67221.16218560043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0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Cash flow waterfall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CFADS</s:t>
        </s:is>
      </s:c>
      <s:c r="B5" s="6">
        <s:f>'Operating forecast'!B7-'Cash taxes'!B6-'Assumptions'!B23-'Assumptions'!B24</s:f>
        <s:v>947239.0434172065</s:v>
      </s:c>
      <s:c r="C5" s="6">
        <s:f>'Operating forecast'!C7-'Cash taxes'!C6-'Assumptions'!B23-'Assumptions'!B24</s:f>
        <s:v>972315.7511002591</s:v>
      </s:c>
      <s:c r="D5" s="6">
        <s:f>'Operating forecast'!D7-'Cash taxes'!D6-'Assumptions'!B23-'Assumptions'!B24</s:f>
        <s:v>997664.8561417323</s:v>
      </s:c>
      <s:c r="E5" s="6">
        <s:f>'Operating forecast'!E7-'Cash taxes'!E6-'Assumptions'!B23-'Assumptions'!B24</s:f>
        <s:v>1023244.2782558571</s:v>
      </s:c>
      <s:c r="F5" s="6">
        <s:f>'Operating forecast'!F7-'Cash taxes'!F6-'Assumptions'!B23-'Assumptions'!B24</s:f>
        <s:v>1049005.4126856003</s:v>
      </s:c>
    </s:row>
    <s:row r="6">
      <s:c r="A6" t="inlineStr">
        <s:is>
          <s:t>Senior service</s:t>
        </s:is>
      </s:c>
      <s:c r="B6" s="6">
        <s:f>SUM('Senior debt amortization'!E5:E16)</s:f>
        <s:v>634323.5370324573</s:v>
      </s:c>
      <s:c r="C6" s="6">
        <s:f>SUM('Senior debt amortization'!E17:E28)</s:f>
        <s:v>634323.5370324573</s:v>
      </s:c>
      <s:c r="D6" s="6">
        <s:f>SUM('Senior debt amortization'!E29:E40)</s:f>
        <s:v>634323.5370324573</s:v>
      </s:c>
      <s:c r="E6" s="6">
        <s:f>SUM('Senior debt amortization'!E41:E52)</s:f>
        <s:v>634323.5370324573</s:v>
      </s:c>
      <s:c r="F6" s="6">
        <s:f>SUM('Senior debt amortization'!E53:E64)</s:f>
        <s:v>634323.5370324573</s:v>
      </s:c>
    </s:row>
    <s:row r="7">
      <s:c r="A7" t="inlineStr">
        <s:is>
          <s:t>Retained cash</s:t>
        </s:is>
      </s:c>
      <s:c r="B7" s="6">
        <s:f>'Cash flow waterfall'!B5-'Cash flow waterfall'!B6-'Seller debt'!B6</s:f>
        <s:v>312915.5063847492</s:v>
      </s:c>
      <s:c r="C7" s="6">
        <s:f>'Cash flow waterfall'!C5-'Cash flow waterfall'!C6-'Seller debt'!B6</s:f>
        <s:v>337992.21406780183</s:v>
      </s:c>
      <s:c r="D7" s="6">
        <s:f>'Cash flow waterfall'!D5-'Cash flow waterfall'!D6-'Seller debt'!B6</s:f>
        <s:v>363341.319109275</s:v>
      </s:c>
      <s:c r="E7" s="6">
        <s:f>'Cash flow waterfall'!E5-'Cash flow waterfall'!E6-'Seller debt'!B6</s:f>
        <s:v>388920.74122339976</s:v>
      </s:c>
      <s:c r="F7" s="6">
        <s:f>'Cash flow waterfall'!F5-'Cash flow waterfall'!F6-'Seller debt'!B6</s:f>
        <s:v>414681.87565314304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1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Debt service coverage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Buyer CFADS DSCR</s:t>
        </s:is>
      </s:c>
      <s:c r="B5" s="8">
        <s:f>'Cash flow waterfall'!B5/'Cash flow waterfall'!B6</s:f>
        <s:v>1.4933058417612175</s:v>
      </s:c>
      <s:c r="C5" s="8">
        <s:f>'Cash flow waterfall'!C5/'Cash flow waterfall'!C6</s:f>
        <s:v>1.5328388343415789</s:v>
      </s:c>
      <s:c r="D5" s="8">
        <s:f>'Cash flow waterfall'!D5/'Cash flow waterfall'!D6</s:f>
        <s:v>1.5728012566096587</s:v>
      </s:c>
      <s:c r="E5" s="8">
        <s:f>'Cash flow waterfall'!E5/'Cash flow waterfall'!E6</s:f>
        <s:v>1.6131267697283938</s:v>
      </s:c>
      <s:c r="F5" s="8">
        <s:f>'Cash flow waterfall'!F5/'Cash flow waterfall'!F6</s:f>
        <s:v>1.6537387491454925</s:v>
      </s:c>
    </s:row>
    <s:row r="6">
      <s:c r="A6" t="inlineStr">
        <s:is>
          <s:t>EBITDA DSC</s:t>
        </s:is>
      </s:c>
      <s:c r="B6" s="8">
        <s:f>'Operating forecast'!B7/'Cash flow waterfall'!B6</s:f>
        <s:v>2.2070755982815813</s:v>
      </s:c>
      <s:c r="C6" s="8">
        <s:f>'Operating forecast'!C7/'Cash flow waterfall'!C6</s:f>
        <s:v>2.273287866230029</s:v>
      </s:c>
      <s:c r="D6" s="8">
        <s:f>'Operating forecast'!D7/'Cash flow waterfall'!D6</s:f>
        <s:v>2.3414865022169296</s:v>
      </s:c>
      <s:c r="E6" s="8">
        <s:f>'Operating forecast'!E7/'Cash flow waterfall'!E6</s:f>
        <s:v>2.4117310972834383</s:v>
      </s:c>
      <s:c r="F6" s="8">
        <s:f>'Operating forecast'!F7/'Cash flow waterfall'!F6</s:f>
        <s:v>2.484083030201941</s:v>
      </s:c>
    </s:row>
    <s:row r="7">
      <s:c r="A7" t="inlineStr">
        <s:is>
          <s:t>Cash covenant headroom</s:t>
        </s:is>
      </s:c>
      <s:c r="B7" s="6">
        <s:f>'Cash flow waterfall'!B5-'Assumptions'!B27*'Cash flow waterfall'!B6</s:f>
        <s:v>154334.62212663493</s:v>
      </s:c>
      <s:c r="C7" s="6">
        <s:f>'Cash flow waterfall'!C5-'Assumptions'!B27*'Cash flow waterfall'!C6</s:f>
        <s:v>179411.32980968757</s:v>
      </s:c>
      <s:c r="D7" s="6">
        <s:f>'Cash flow waterfall'!D5-'Assumptions'!B27*'Cash flow waterfall'!D6</s:f>
        <s:v>204760.43485116074</s:v>
      </s:c>
      <s:c r="E7" s="6">
        <s:f>'Cash flow waterfall'!E5-'Assumptions'!B27*'Cash flow waterfall'!E6</s:f>
        <s:v>230339.8569652855</s:v>
      </s:c>
      <s:c r="F7" s="6">
        <s:f>'Cash flow waterfall'!F5-'Assumptions'!B27*'Cash flow waterfall'!F6</s:f>
        <s:v>256100.99139502877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2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Liquidity analysis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Ending cash</s:t>
        </s:is>
      </s:c>
      <s:c r="B5" s="6">
        <s:f>'Assumptions'!B9+'Cash flow waterfall'!B7</s:f>
        <s:v>512915.5063847492</s:v>
      </s:c>
      <s:c r="C5" s="6">
        <s:f>B5+'Cash flow waterfall'!C7</s:f>
        <s:v>850907.720452551</s:v>
      </s:c>
      <s:c r="D5" s="6">
        <s:f>C5+'Cash flow waterfall'!D7</s:f>
        <s:v>1214249.039561826</s:v>
      </s:c>
      <s:c r="E5" s="6">
        <s:f>D5+'Cash flow waterfall'!E7</s:f>
        <s:v>1603169.7807852258</s:v>
      </s:c>
      <s:c r="F5" s="6">
        <s:f>E5+'Cash flow waterfall'!F7</s:f>
        <s:v>2017851.6564383688</s:v>
      </s:c>
    </s:row>
    <s:row r="6">
      <s:c r="A6" t="inlineStr">
        <s:is>
          <s:t>Minimum cash headroom</s:t>
        </s:is>
      </s:c>
      <s:c r="B6" s="6">
        <s:f>'Liquidity analysis'!B5-'Assumptions'!B28</s:f>
        <s:v>312915.5063847492</s:v>
      </s:c>
      <s:c r="C6" s="6">
        <s:f>'Liquidity analysis'!C5-'Assumptions'!B28</s:f>
        <s:v>650907.720452551</s:v>
      </s:c>
      <s:c r="D6" s="6">
        <s:f>'Liquidity analysis'!D5-'Assumptions'!B28</s:f>
        <s:v>1014249.039561826</s:v>
      </s:c>
      <s:c r="E6" s="6">
        <s:f>'Liquidity analysis'!E5-'Assumptions'!B28</s:f>
        <s:v>1403169.7807852258</s:v>
      </s:c>
      <s:c r="F6" s="6">
        <s:f>'Liquidity analysis'!F5-'Assumptions'!B28</s:f>
        <s:v>1817851.6564383688</s:v>
      </s:c>
    </s:row>
    <s:row r="7">
      <s:c r="A7" t="inlineStr">
        <s:is>
          <s:t>Timing limit</s:t>
        </s:is>
      </s:c>
      <s:c r="B7" s="3" t="inlineStr">
        <s:is>
          <s:t>Annual schedule only; monthly collection/expense data not supplied. No invented intra-year minimum.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3.xml><?xml version="1.0" encoding="utf-8"?>
<s:worksheet xmlns:s="http://schemas.openxmlformats.org/spreadsheetml/2006/main">
  <s:sheetPr>
    <s:outlinePr summaryBelow="1" summaryRight="1"/>
    <s:pageSetUpPr/>
  </s:sheetPr>
  <s:dimension ref="A1:G11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Downside scenarios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Revenue loss 0%: CFADS and DSCR</s:t>
        </s:is>
      </s:c>
      <s:c r="B5" s="6">
        <s:f>(('Assumptions'!B18*(1-0)*(1-'Assumptions'!B19 )-'Assumptions'!B20)-MAX(0,(('Assumptions'!B18*(1-0)*(1-'Assumptions'!B19 )-'Assumptions'!B20)-'Assumptions'!B22-'Cash taxes'!B5)*'Assumptions'!B17)-'Assumptions'!B23-'Assumptions'!B24)</s:f>
        <s:v>947239.0434172065</s:v>
      </s:c>
      <s:c r="C5" s="6">
        <s:f>(('Assumptions'!B18*(1-0)*(1-'Assumptions'!B19 )-'Assumptions'!B20)-MAX(0,(('Assumptions'!B18*(1-0)*(1-'Assumptions'!B19 )-'Assumptions'!B20)-'Assumptions'!B22-'Cash taxes'!B5)*'Assumptions'!B17)-'Assumptions'!B23-'Assumptions'!B24)/'Cash flow waterfall'!B6</s:f>
        <s:v>1.4933058417612175</s:v>
      </s:c>
    </s:row>
    <s:row r="6">
      <s:c r="A6" t="inlineStr">
        <s:is>
          <s:t>Revenue loss 10%: CFADS and DSCR</s:t>
        </s:is>
      </s:c>
      <s:c r="B6" s="6">
        <s:f>(('Assumptions'!B18*(1-0.1)*(1-'Assumptions'!B19 )-'Assumptions'!B20)-MAX(0,(('Assumptions'!B18*(1-0.1)*(1-'Assumptions'!B19 )-'Assumptions'!B20)-'Assumptions'!B22-'Cash taxes'!B5)*'Assumptions'!B17)-'Assumptions'!B23-'Assumptions'!B24)</s:f>
        <s:v>677239.0434172065</s:v>
      </s:c>
      <s:c r="C6" s="6">
        <s:f>(('Assumptions'!B18*(1-0.1)*(1-'Assumptions'!B19 )-'Assumptions'!B20)-MAX(0,(('Assumptions'!B18*(1-0.1)*(1-'Assumptions'!B19 )-'Assumptions'!B20)-'Assumptions'!B22-'Cash taxes'!B5)*'Assumptions'!B17)-'Assumptions'!B23-'Assumptions'!B24)/'Cash flow waterfall'!B6</s:f>
        <s:v>1.0676555478069125</s:v>
      </s:c>
    </s:row>
    <s:row r="7">
      <s:c r="A7" t="inlineStr">
        <s:is>
          <s:t>Revenue loss 20%: CFADS and DSCR</s:t>
        </s:is>
      </s:c>
      <s:c r="B7" s="6">
        <s:f>(('Assumptions'!B18*(1-0.2)*(1-'Assumptions'!B19 )-'Assumptions'!B20)-MAX(0,(('Assumptions'!B18*(1-0.2)*(1-'Assumptions'!B19 )-'Assumptions'!B20)-'Assumptions'!B22-'Cash taxes'!B5)*'Assumptions'!B17)-'Assumptions'!B23-'Assumptions'!B24)</s:f>
        <s:v>407239.0434172065</s:v>
      </s:c>
      <s:c r="C7" s="6">
        <s:f>(('Assumptions'!B18*(1-0.2)*(1-'Assumptions'!B19 )-'Assumptions'!B20)-MAX(0,(('Assumptions'!B18*(1-0.2)*(1-'Assumptions'!B19 )-'Assumptions'!B20)-'Assumptions'!B22-'Cash taxes'!B5)*'Assumptions'!B17)-'Assumptions'!B23-'Assumptions'!B24)/'Cash flow waterfall'!B6</s:f>
        <s:v>0.6420052538526073</s:v>
      </s:c>
    </s:row>
    <s:row r="8">
      <s:c r="A8" t="inlineStr">
        <s:is>
          <s:t>Revenue loss 30%: CFADS and DSCR</s:t>
        </s:is>
      </s:c>
      <s:c r="B8" s="6">
        <s:f>(('Assumptions'!B18*(1-0.3)*(1-'Assumptions'!B19 )-'Assumptions'!B20)-MAX(0,(('Assumptions'!B18*(1-0.3)*(1-'Assumptions'!B19 )-'Assumptions'!B20)-'Assumptions'!B22-'Cash taxes'!B5)*'Assumptions'!B17)-'Assumptions'!B23-'Assumptions'!B24)</s:f>
        <s:v>69999.99999999953</s:v>
      </s:c>
      <s:c r="C8" s="6">
        <s:f>(('Assumptions'!B18*(1-0.3)*(1-'Assumptions'!B19 )-'Assumptions'!B20)-MAX(0,(('Assumptions'!B18*(1-0.3)*(1-'Assumptions'!B19 )-'Assumptions'!B20)-'Assumptions'!B22-'Cash taxes'!B5)*'Assumptions'!B17)-'Assumptions'!B23-'Assumptions'!B24)/'Cash flow waterfall'!B6</s:f>
        <s:v>0.11035377991407837</s:v>
      </s:c>
    </s:row>
    <s:row r="9">
      <s:c r="A9" t="inlineStr">
        <s:is>
          <s:t>Exact revenue loss at 1.25x</s:t>
        </s:is>
      </s:c>
      <s:c r="B9" s="7">
        <s:f>('Cash flow waterfall'!B5-1.25*'Cash flow waterfall'!B6)/('Assumptions'!B18*(1-'Assumptions'!B19)*(1-'Assumptions'!B17))</s:f>
        <s:v>0.05716097115801295</s:v>
      </s:c>
    </s:row>
    <s:row r="10">
      <s:c r="A10" t="inlineStr">
        <s:is>
          <s:t>Exact revenue loss at 1.15x</s:t>
        </s:is>
      </s:c>
      <s:c r="B10" s="7">
        <s:f>('Cash flow waterfall'!B5-1.15*'Cash flow waterfall'!B6)/('Assumptions'!B18*(1-'Assumptions'!B19)*(1-'Assumptions'!B17))</s:f>
        <s:v>0.08065443549254842</s:v>
      </s:c>
    </s:row>
    <s:row r="11">
      <s:c r="A11" t="inlineStr">
        <s:is>
          <s:t>Exact revenue loss at 1.0x</s:t>
        </s:is>
      </s:c>
      <s:c r="B11" s="7">
        <s:f>('Cash flow waterfall'!B5-1.0*'Cash flow waterfall'!B6)/('Assumptions'!B18*(1-'Assumptions'!B19)*(1-'Assumptions'!B17))</s:f>
        <s:v>0.11589463199435157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1"/>
  <s:pageMargins left="0.75" right="0.75" top="1" bottom="1" header="0.5" footer="0.5"/>
</s:worksheet>
</file>

<file path=xl/worksheets/sheet14.xml><?xml version="1.0" encoding="utf-8"?>
<s:worksheet xmlns:s="http://schemas.openxmlformats.org/spreadsheetml/2006/main">
  <s:sheetPr>
    <s:outlinePr summaryBelow="1" summaryRight="1"/>
    <s:pageSetUpPr/>
  </s:sheetPr>
  <s:dimension ref="A1:G10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Exit valuation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Enterprise value</s:t>
        </s:is>
      </s:c>
      <s:c r="B5" s="6">
        <s:f>'Operating forecast'!F7*'Assumptions'!B25</s:f>
        <s:v>6302849.335999999</s:v>
      </s:c>
    </s:row>
    <s:row r="6">
      <s:c r="A6" t="inlineStr">
        <s:is>
          <s:t>Exit costs</s:t>
        </s:is>
      </s:c>
      <s:c r="B6" s="6">
        <s:f>'Exit valuation'!B5*'Assumptions'!B26</s:f>
        <s:v>189085.48007999998</s:v>
      </s:c>
    </s:row>
    <s:row r="7">
      <s:c r="A7" t="inlineStr">
        <s:is>
          <s:t>Senior remaining</s:t>
        </s:is>
      </s:c>
      <s:c r="B7" s="6">
        <s:f>'Senior debt amortization'!G64</s:f>
        <s:v>2487889.279240342</s:v>
      </s:c>
    </s:row>
    <s:row r="8">
      <s:c r="A8" t="inlineStr">
        <s:is>
          <s:t>Seller claim</s:t>
        </s:is>
      </s:c>
      <s:c r="B8" s="6">
        <s:f>'Seller debt'!B8</s:f>
        <s:v>400000.0</s:v>
      </s:c>
    </s:row>
    <s:row r="9">
      <s:c r="A9" t="inlineStr">
        <s:is>
          <s:t>Cash released</s:t>
        </s:is>
      </s:c>
      <s:c r="B9" s="6">
        <s:f>'Liquidity analysis'!F5</s:f>
        <s:v>2017851.6564383688</s:v>
      </s:c>
    </s:row>
    <s:row r="10">
      <s:c r="A10" t="inlineStr">
        <s:is>
          <s:t>Equity proceeds</s:t>
        </s:is>
      </s:c>
      <s:c r="B10" s="6">
        <s:f>B5-B6-B7-B8+B9</s:f>
        <s:v>5243726.233118026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0"/>
  <s:pageMargins left="0.75" right="0.75" top="1" bottom="1" header="0.5" footer="0.5"/>
</s:worksheet>
</file>

<file path=xl/worksheets/sheet15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Equity returns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Equity cash flows</s:t>
        </s:is>
      </s:c>
      <s:c r="B5" s="6">
        <s:f>-'Sources and uses'!B11</s:f>
        <s:v>-1200000.0</s:v>
      </s:c>
      <s:c r="C5" s="4" t="n">
        <s:v>0</s:v>
      </s:c>
      <s:c r="D5" s="4" t="n">
        <s:v>0</s:v>
      </s:c>
      <s:c r="E5" s="4" t="n">
        <s:v>0</s:v>
      </s:c>
      <s:c r="F5" s="4" t="n">
        <s:v>0</s:v>
      </s:c>
      <s:c r="G5" s="6">
        <s:f>'Exit valuation'!B10</s:f>
        <s:v>5243726.233118026</s:v>
      </s:c>
    </s:row>
    <s:row r="6">
      <s:c r="A6" t="inlineStr">
        <s:is>
          <s:t>MOIC</s:t>
        </s:is>
      </s:c>
      <s:c r="B6" s="8">
        <s:f>'Exit valuation'!B10/'Sources and uses'!B11</s:f>
        <s:v>4.369771860931688</s:v>
      </s:c>
    </s:row>
    <s:row r="7">
      <s:c r="A7" t="inlineStr">
        <s:is>
          <s:t>IRR</s:t>
        </s:is>
      </s:c>
      <s:c r="B7" s="7">
        <s:f>IRR(B5:G5)</s:f>
        <s:v>0.34304867504378045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6.xml><?xml version="1.0" encoding="utf-8"?>
<s:worksheet xmlns:s="http://schemas.openxmlformats.org/spreadsheetml/2006/main">
  <s:sheetPr>
    <s:outlinePr summaryBelow="1" summaryRight="1"/>
    <s:pageSetUpPr/>
  </s:sheetPr>
  <s:dimension ref="A1:G11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Model checks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USD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Sources less uses</s:t>
        </s:is>
      </s:c>
      <s:c r="B5" s="6">
        <s:f>'Sources and uses'!B12-'Sources and uses'!B8</s:f>
        <s:v>0.0</s:v>
      </s:c>
    </s:row>
    <s:row r="6">
      <s:c r="A6" t="inlineStr">
        <s:is>
          <s:t>Full principal paid</s:t>
        </s:is>
      </s:c>
      <s:c r="B6" s="6">
        <s:f>SUM('Senior debt amortization'!F5:F124)-'Assumptions'!B11</s:f>
        <s:v>1.862645149230957e-09</s:v>
      </s:c>
    </s:row>
    <s:row r="7">
      <s:c r="A7" t="inlineStr">
        <s:is>
          <s:t>Debt maturity balance</s:t>
        </s:is>
      </s:c>
      <s:c r="B7" s="6">
        <s:f>'Senior debt amortization'!G124</s:f>
        <s:v>0.0</s:v>
      </s:c>
    </s:row>
    <s:row r="8">
      <s:c r="A8" t="inlineStr">
        <s:is>
          <s:t>Cash injection gap</s:t>
        </s:is>
      </s:c>
      <s:c r="B8" s="6">
        <s:f>'Equity injection'!B8</s:f>
        <s:v>0.0</s:v>
      </s:c>
    </s:row>
    <s:row r="9">
      <s:c r="A9" t="inlineStr">
        <s:is>
          <s:t>Cash covenant breach</s:t>
        </s:is>
      </s:c>
      <s:c r="B9" s="9">
        <s:f>MAX(0,'Assumptions'!B27-'Debt service coverage'!B5)</s:f>
        <s:v>0.0</s:v>
      </s:c>
      <s:c r="C9" s="9">
        <s:f>MAX(0,'Assumptions'!B27-'Debt service coverage'!C5)</s:f>
        <s:v>0.0</s:v>
      </s:c>
      <s:c r="D9" s="9">
        <s:f>MAX(0,'Assumptions'!B27-'Debt service coverage'!D5)</s:f>
        <s:v>0.0</s:v>
      </s:c>
      <s:c r="E9" s="9">
        <s:f>MAX(0,'Assumptions'!B27-'Debt service coverage'!E5)</s:f>
        <s:v>0.0</s:v>
      </s:c>
      <s:c r="F9" s="9">
        <s:f>MAX(0,'Assumptions'!B27-'Debt service coverage'!F5)</s:f>
        <s:v>0.0</s:v>
      </s:c>
    </s:row>
    <s:row r="10">
      <s:c r="A10" t="inlineStr">
        <s:is>
          <s:t>Minimum cash shortfall</s:t>
        </s:is>
      </s:c>
      <s:c r="B10" s="6">
        <s:f>MAX(0,'Assumptions'!B28-'Liquidity analysis'!B5)</s:f>
        <s:v>0.0</s:v>
      </s:c>
      <s:c r="C10" s="6">
        <s:f>MAX(0,'Assumptions'!B28-'Liquidity analysis'!C5)</s:f>
        <s:v>0.0</s:v>
      </s:c>
      <s:c r="D10" s="6">
        <s:f>MAX(0,'Assumptions'!B28-'Liquidity analysis'!D5)</s:f>
        <s:v>0.0</s:v>
      </s:c>
      <s:c r="E10" s="6">
        <s:f>MAX(0,'Assumptions'!B28-'Liquidity analysis'!E5)</s:f>
        <s:v>0.0</s:v>
      </s:c>
      <s:c r="F10" s="6">
        <s:f>MAX(0,'Assumptions'!B28-'Liquidity analysis'!F5)</s:f>
        <s:v>0.0</s:v>
      </s:c>
    </s:row>
    <s:row r="11">
      <s:c r="A11" t="inlineStr">
        <s:is>
          <s:t>IRR NPV</s:t>
        </s:is>
      </s:c>
      <s:c r="B11" s="6">
        <s:f>NPV('Equity returns'!B7,'Equity returns'!C5:G5)+'Equity returns'!B5</s:f>
        <s:v>2.561137080192566e-09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1"/>
  <s:conditionalFormatting sqref="B5:H11">
    <s:cfRule type="cellIs" priority="1" operator="notBetween" dxfId="0">
      <s:formula>-0.000001</s:formula>
      <s:formula>0.000001</s:formula>
    </s:cfRule>
  </s:conditionalFormatting>
  <s:pageMargins left="0.75" right="0.75" top="1" bottom="1" header="0.5" footer="0.5"/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2026-11-05T21:00:19Z</dcterms:created>
  <dcterms:modified xsi:type="dcterms:W3CDTF">2026-11-05T21:00:19Z</dcterms:modified>
</cp:coreProperties>
</file>