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Assumptions" sheetId="2" state="visible" r:id="rId2"/>
    <sheet name="Historical financials" sheetId="3" state="visible" r:id="rId3"/>
    <sheet name="Revenue forecast" sheetId="4" state="visible" r:id="rId4"/>
    <sheet name="Operating forecast" sheetId="5" state="visible" r:id="rId5"/>
    <sheet name="Working capital" sheetId="6" state="visible" r:id="rId6"/>
    <sheet name="Capital expenditures" sheetId="7" state="visible" r:id="rId7"/>
    <sheet name="Unlevered free cash flow" sheetId="8" state="visible" r:id="rId8"/>
    <sheet name="WACC" sheetId="9" state="visible" r:id="rId9"/>
    <sheet name="Terminal value" sheetId="10" state="visible" r:id="rId10"/>
    <sheet name="DCF valuation" sheetId="11" state="visible" r:id="rId11"/>
    <sheet name="Sensitivity analysis" sheetId="12" state="visible" r:id="rId12"/>
    <sheet name="Enterprise-to-equity bridge" sheetId="13" state="visible" r:id="rId13"/>
    <sheet name="Model checks" sheetId="14" state="visible" r:id="rId14"/>
  </sheets>
  <definedNames>
    <definedName name="_xlnm._FilterDatabase" localSheetId="0" hidden="1">'Instructions'!$A$4:$G$15</definedName>
    <definedName name="_xlnm._FilterDatabase" localSheetId="1" hidden="1">'Assumptions'!$A$4:$G$25</definedName>
    <definedName name="_xlnm._FilterDatabase" localSheetId="2" hidden="1">'Historical financials'!$A$4:$G$8</definedName>
    <definedName name="_xlnm._FilterDatabase" localSheetId="3" hidden="1">'Revenue forecast'!$A$4:$G$6</definedName>
    <definedName name="_xlnm._FilterDatabase" localSheetId="4" hidden="1">'Operating forecast'!$A$4:$G$8</definedName>
    <definedName name="_xlnm._FilterDatabase" localSheetId="5" hidden="1">'Working capital'!$A$4:$G$6</definedName>
    <definedName name="_xlnm._FilterDatabase" localSheetId="6" hidden="1">'Capital expenditures'!$A$4:$G$7</definedName>
    <definedName name="_xlnm._FilterDatabase" localSheetId="7" hidden="1">'Unlevered free cash flow'!$A$4:$G$5</definedName>
    <definedName name="_xlnm._FilterDatabase" localSheetId="8" hidden="1">'WACC'!$A$4:$G$7</definedName>
    <definedName name="_xlnm._FilterDatabase" localSheetId="9" hidden="1">'Terminal value'!$A$4:$G$7</definedName>
    <definedName name="_xlnm._FilterDatabase" localSheetId="10" hidden="1">'DCF valuation'!$A$4:$G$9</definedName>
    <definedName name="_xlnm._FilterDatabase" localSheetId="11" hidden="1">'Sensitivity analysis'!$A$4:$G$7</definedName>
    <definedName name="_xlnm._FilterDatabase" localSheetId="12" hidden="1">'Enterprise-to-equity bridge'!$A$4:$G$7</definedName>
    <definedName name="_xlnm._FilterDatabase" localSheetId="13" hidden="1">'Model checks'!$A$4:$G$7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;[Red](#,##0.00);–"/>
  </numFmts>
  <fonts count="4">
    <font>
      <name val="Calibri"/>
      <family val="2"/>
      <color theme="1"/>
      <sz val="11"/>
      <scheme val="minor"/>
    </font>
    <font>
      <name val="Calibri"/>
      <color rgb="00000000"/>
      <sz val="11"/>
    </font>
    <font>
      <name val="Calibri"/>
      <color rgb="000000FF"/>
      <sz val="1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19334D"/>
      </patternFill>
    </fill>
    <fill>
      <patternFill patternType="solid">
        <fgColor rgb="00365C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3" borderId="0" pivotButton="0" quotePrefix="0" xfId="0"/>
    <xf numFmtId="0" fontId="3" fillId="4" borderId="0" pivotButton="0" quotePrefix="0" xfId="0"/>
    <xf numFmtId="0" fontId="1" fillId="0" borderId="0" pivotButton="0" quotePrefix="0" xfId="0"/>
    <xf numFmtId="164" fontId="2" fillId="2" borderId="0" applyProtection="1" pivotButton="0" quotePrefix="0" xfId="0">
      <protection locked="0" hidden="0"/>
    </xf>
    <xf numFmtId="10" fontId="2" fillId="2" borderId="0" applyProtection="1" pivotButton="0" quotePrefix="0" xfId="0">
      <protection locked="0" hidden="0"/>
    </xf>
    <xf numFmtId="164" fontId="1" fillId="0" borderId="0" pivotButton="0" quotePrefix="0" xfId="0"/>
    <xf numFmtId="10" fontId="1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FD6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s:worksheet xmlns:s="http://schemas.openxmlformats.org/spreadsheetml/2006/main">
  <s:sheetPr>
    <s:outlinePr summaryBelow="1" summaryRight="1"/>
    <s:pageSetUpPr/>
  </s:sheetPr>
  <s:dimension ref="A1:G15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Instructions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Case</s:t>
        </s:is>
      </s:c>
      <s:c r="B5" s="3" t="inlineStr">
        <s:is>
          <s:t>Harbor Field Services — fictional educational inputs</s:t>
        </s:is>
      </s:c>
    </s:row>
    <s:row r="6">
      <s:c r="A6" t="inlineStr">
        <s:is>
          <s:t>Units</s:t>
        </s:is>
      </s:c>
      <s:c r="B6" s="3" t="inlineStr">
        <s:is>
          <s:t>$000</s:t>
        </s:is>
      </s:c>
    </s:row>
    <s:row r="7">
      <s:c r="A7" t="inlineStr">
        <s:is>
          <s:t>Date</s:t>
        </s:is>
      </s:c>
      <s:c r="B7" s="3" t="inlineStr">
        <s:is>
          <s:t>2026-11-05</s:t>
        </s:is>
      </s:c>
    </s:row>
    <s:row r="8">
      <s:c r="A8" t="inlineStr">
        <s:is>
          <s:t>Mode</s:t>
        </s:is>
      </s:c>
      <s:c r="B8" s="3" t="inlineStr">
        <s:is>
          <s:t>Instructor solution</s:t>
        </s:is>
      </s:c>
    </s:row>
    <s:row r="9">
      <s:c r="A9" t="inlineStr">
        <s:is>
          <s:t>Colors</s:t>
        </s:is>
      </s:c>
      <s:c r="B9" s="3" t="inlineStr">
        <s:is>
          <s:t>Blue = input; black = formula. No external links.</s:t>
        </s:is>
      </s:c>
    </s:row>
    <s:row r="10">
      <s:c r="A10" t="inlineStr">
        <s:is>
          <s:t>Protection</s:t>
        </s:is>
      </s:c>
      <s:c r="B10" s="3" t="inlineStr">
        <s:is>
          <s:t>Inputs editable; formulas locked. Unprotect without password for study; not security.</s:t>
        </s:is>
      </s:c>
    </s:row>
    <s:row r="11">
      <s:c r="A11" t="inlineStr">
        <s:is>
          <s:t>Method</s:t>
        </s:is>
      </s:c>
      <s:c r="B11" s="3" t="inlineStr">
        <s:is>
          <s:t>Year-end annual cash flows; retain precision. Read each sheet before editing.</s:t>
        </s:is>
      </s:c>
    </s:row>
    <s:row r="12">
      <s:c r="A12" t="inlineStr">
        <s:is>
          <s:t>Scenario</s:t>
        </s:is>
      </s:c>
      <s:c r="B12" s="3" t="inlineStr">
        <s:is>
          <s:t>Where supplied, scenario 0 = base and 1 = downside. Change input, predict outcome, inspect checks.</s:t>
        </s:is>
      </s:c>
    </s:row>
    <s:row r="13">
      <s:c r="A13" t="inlineStr">
        <s:is>
          <s:t>Learner task</s:t>
        </s:is>
      </s:c>
      <s:c r="B13" s="3" t="inlineStr">
        <s:is>
          <s:t>Replace yellow blank formula cells using linked assumptions and the course instructions.</s:t>
        </s:is>
      </s:c>
    </s:row>
    <s:row r="14">
      <s:c r="A14" t="inlineStr">
        <s:is>
          <s:t>Recalculation</s:t>
        </s:is>
      </s:c>
      <s:c r="B14" s="3" t="inlineStr">
        <s:is>
          <s:t>Run scripts/recalculate_workbooks.py after generation. Formula-engine results and native-engine limits: audit/workbook_validation.json.</s:t>
        </s:is>
      </s:c>
    </s:row>
    <s:row r="15">
      <s:c r="A15" t="inlineStr">
        <s:is>
          <s:t>Policy</s:t>
        </s:is>
      </s:c>
      <s:c r="B15" s="3" t="inlineStr">
        <s:is>
          <s:t>Fictional case, not a lender commitment or legal compliance certificate.</s:t>
        </s:is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15"/>
  <s:pageMargins left="0.75" right="0.75" top="1" bottom="1" header="0.5" footer="0.5"/>
</s:worksheet>
</file>

<file path=xl/worksheets/sheet2.xml><?xml version="1.0" encoding="utf-8"?>
<s:worksheet xmlns:s="http://schemas.openxmlformats.org/spreadsheetml/2006/main">
  <s:sheetPr>
    <s:outlinePr summaryBelow="1" summaryRight="1"/>
    <s:pageSetUpPr/>
  </s:sheetPr>
  <s:dimension ref="A1:G25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Assumptions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Scenario</s:t>
        </s:is>
      </s:c>
      <s:c r="B5" s="4" t="n">
        <s:v>0</s:v>
      </s:c>
    </s:row>
    <s:row r="6">
      <s:c r="A6" t="inlineStr">
        <s:is>
          <s:t>Revenue</s:t>
        </s:is>
      </s:c>
      <s:c r="B6" s="4" t="n">
        <s:v>5000</s:v>
      </s:c>
    </s:row>
    <s:row r="7">
      <s:c r="A7" t="inlineStr">
        <s:is>
          <s:t>EBITDA margin</s:t>
        </s:is>
      </s:c>
      <s:c r="B7" s="5" t="n">
        <s:v>0.16</s:v>
      </s:c>
    </s:row>
    <s:row r="8">
      <s:c r="A8" t="inlineStr">
        <s:is>
          <s:t>DA ratio</s:t>
        </s:is>
      </s:c>
      <s:c r="B8" s="5" t="n">
        <s:v>0.02</s:v>
      </s:c>
    </s:row>
    <s:row r="9">
      <s:c r="A9" t="inlineStr">
        <s:is>
          <s:t>CapEx ratio</s:t>
        </s:is>
      </s:c>
      <s:c r="B9" s="5" t="n">
        <s:v>0.024</s:v>
      </s:c>
    </s:row>
    <s:row r="10">
      <s:c r="A10" t="inlineStr">
        <s:is>
          <s:t>NWC ratio</s:t>
        </s:is>
      </s:c>
      <s:c r="B10" s="5" t="n">
        <s:v>0.09</s:v>
      </s:c>
    </s:row>
    <s:row r="11">
      <s:c r="A11" t="inlineStr">
        <s:is>
          <s:t>Opening NWC</s:t>
        </s:is>
      </s:c>
      <s:c r="B11" s="4" t="n">
        <s:v>450</s:v>
      </s:c>
    </s:row>
    <s:row r="12">
      <s:c r="A12" t="inlineStr">
        <s:is>
          <s:t>Growth</s:t>
        </s:is>
      </s:c>
      <s:c r="B12" s="5" t="n">
        <s:v>0.04</s:v>
      </s:c>
    </s:row>
    <s:row r="13">
      <s:c r="A13" t="inlineStr">
        <s:is>
          <s:t>Tax</s:t>
        </s:is>
      </s:c>
      <s:c r="B13" s="5" t="n">
        <s:v>0.25</s:v>
      </s:c>
    </s:row>
    <s:row r="14">
      <s:c r="A14" t="inlineStr">
        <s:is>
          <s:t>Discount rate</s:t>
        </s:is>
      </s:c>
      <s:c r="B14" s="5" t="n">
        <s:v>0.2</s:v>
      </s:c>
    </s:row>
    <s:row r="15">
      <s:c r="A15" t="inlineStr">
        <s:is>
          <s:t>Terminal growth</s:t>
        </s:is>
      </s:c>
      <s:c r="B15" s="5" t="n">
        <s:v>0.02</s:v>
      </s:c>
    </s:row>
    <s:row r="16">
      <s:c r="A16" t="inlineStr">
        <s:is>
          <s:t>Excess cash</s:t>
        </s:is>
      </s:c>
      <s:c r="B16" s="4" t="n">
        <s:v>50</s:v>
      </s:c>
    </s:row>
    <s:row r="17">
      <s:c r="A17" t="inlineStr">
        <s:is>
          <s:t>Debt</s:t>
        </s:is>
      </s:c>
      <s:c r="B17" s="4" t="n">
        <s:v>500</s:v>
      </s:c>
    </s:row>
    <s:row r="18">
      <s:c r="A18" t="inlineStr">
        <s:is>
          <s:t>Asking EV</s:t>
        </s:is>
      </s:c>
      <s:c r="B18" s="4" t="n">
        <s:v>3200</s:v>
      </s:c>
    </s:row>
    <s:row r="19">
      <s:c r="A19" t="inlineStr">
        <s:is>
          <s:t>Downside growth</s:t>
        </s:is>
      </s:c>
      <s:c r="B19" s="5" t="n">
        <s:v>0</s:v>
      </s:c>
    </s:row>
    <s:row r="20">
      <s:c r="A20" t="inlineStr">
        <s:is>
          <s:t>Downside margin</s:t>
        </s:is>
      </s:c>
      <s:c r="B20" s="5" t="n">
        <s:v>0.14</s:v>
      </s:c>
    </s:row>
    <s:row r="21">
      <s:c r="A21" t="inlineStr">
        <s:is>
          <s:t>Downside CapEx</s:t>
        </s:is>
      </s:c>
      <s:c r="B21" s="5" t="n">
        <s:v>0.03</s:v>
      </s:c>
    </s:row>
    <s:row r="22">
      <s:c r="A22" t="inlineStr">
        <s:is>
          <s:t>Downside NWC</s:t>
        </s:is>
      </s:c>
      <s:c r="B22" s="5" t="n">
        <s:v>0.1</s:v>
      </s:c>
    </s:row>
    <s:row r="23">
      <s:c r="A23" t="inlineStr">
        <s:is>
          <s:t>Equity weight</s:t>
        </s:is>
      </s:c>
      <s:c r="B23" s="5" t="n">
        <s:v>0.7</s:v>
      </s:c>
    </s:row>
    <s:row r="24">
      <s:c r="A24" t="inlineStr">
        <s:is>
          <s:t>Cost equity</s:t>
        </s:is>
      </s:c>
      <s:c r="B24" s="5" t="n">
        <s:v>0.24</s:v>
      </s:c>
    </s:row>
    <s:row r="25">
      <s:c r="A25" t="inlineStr">
        <s:is>
          <s:t>Cost debt</s:t>
        </s:is>
      </s:c>
      <s:c r="B25" s="5" t="n">
        <s:v>0.1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25"/>
  <s:dataValidations count="1">
    <s:dataValidation sqref="B5" showDropDown="0" showInputMessage="0" showErrorMessage="0" allowBlank="0" type="list">
      <s:formula1>"0,1"</s:formula1>
    </s:dataValidation>
  </s:dataValidations>
  <s:pageMargins left="0.75" right="0.75" top="1" bottom="1" header="0.5" footer="0.5"/>
</s:worksheet>
</file>

<file path=xl/worksheets/sheet3.xml><?xml version="1.0" encoding="utf-8"?>
<s:worksheet xmlns:s="http://schemas.openxmlformats.org/spreadsheetml/2006/main">
  <s:sheetPr>
    <s:outlinePr summaryBelow="1" summaryRight="1"/>
    <s:pageSetUpPr/>
  </s:sheetPr>
  <s:dimension ref="A1:G8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Historical financials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Revenue</s:t>
        </s:is>
      </s:c>
      <s:c r="B5" s="6">
        <s:f>'Assumptions'!B6</s:f>
        <s:v>5000.0</s:v>
      </s:c>
    </s:row>
    <s:row r="6">
      <s:c r="A6" t="inlineStr">
        <s:is>
          <s:t>EBITDA</s:t>
        </s:is>
      </s:c>
      <s:c r="B6" s="6">
        <s:f>'Assumptions'!B6*'Assumptions'!B7</s:f>
        <s:v>800.0</s:v>
      </s:c>
    </s:row>
    <s:row r="7">
      <s:c r="A7" t="inlineStr">
        <s:is>
          <s:t>D&amp;A</s:t>
        </s:is>
      </s:c>
      <s:c r="B7" s="6">
        <s:f>'Assumptions'!B6*'Assumptions'!B8</s:f>
        <s:v>100.0</s:v>
      </s:c>
    </s:row>
    <s:row r="8">
      <s:c r="A8" t="inlineStr">
        <s:is>
          <s:t>Operating NWC</s:t>
        </s:is>
      </s:c>
      <s:c r="B8" s="6">
        <s:f>'Assumptions'!B11</s:f>
        <s:v>450.0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8"/>
  <s:pageMargins left="0.75" right="0.75" top="1" bottom="1" header="0.5" footer="0.5"/>
</s:worksheet>
</file>

<file path=xl/worksheets/sheet4.xml><?xml version="1.0" encoding="utf-8"?>
<s:worksheet xmlns:s="http://schemas.openxmlformats.org/spreadsheetml/2006/main">
  <s:sheetPr>
    <s:outlinePr summaryBelow="1" summaryRight="1"/>
    <s:pageSetUpPr/>
  </s:sheetPr>
  <s:dimension ref="A1:G6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Revenue forecast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Growth</s:t>
        </s:is>
      </s:c>
      <s:c r="B5" s="7">
        <s:f>IF('Assumptions'!B5=0,'Assumptions'!B12,'Assumptions'!B19)</s:f>
        <s:v>0.04</s:v>
      </s:c>
      <s:c r="C5" s="7">
        <s:f>IF('Assumptions'!B5=0,'Assumptions'!B12,'Assumptions'!B19)</s:f>
        <s:v>0.04</s:v>
      </s:c>
      <s:c r="D5" s="7">
        <s:f>IF('Assumptions'!B5=0,'Assumptions'!B12,'Assumptions'!B19)</s:f>
        <s:v>0.04</s:v>
      </s:c>
      <s:c r="E5" s="7">
        <s:f>IF('Assumptions'!B5=0,'Assumptions'!B12,'Assumptions'!B19)</s:f>
        <s:v>0.04</s:v>
      </s:c>
      <s:c r="F5" s="7">
        <s:f>IF('Assumptions'!B5=0,'Assumptions'!B12,'Assumptions'!B19)</s:f>
        <s:v>0.04</s:v>
      </s:c>
      <s:c r="G5" s="7">
        <s:f>'Assumptions'!B15</s:f>
        <s:v>0.02</s:v>
      </s:c>
    </s:row>
    <s:row r="6">
      <s:c r="A6" t="inlineStr">
        <s:is>
          <s:t>Revenue</s:t>
        </s:is>
      </s:c>
      <s:c r="B6" s="6">
        <s:f>'Assumptions'!B6*(1+'Revenue forecast'!B5)</s:f>
        <s:v>5200.0</s:v>
      </s:c>
      <s:c r="C6" s="6">
        <s:f>'Revenue forecast'!B6*(1+'Revenue forecast'!C5)</s:f>
        <s:v>5408.0</s:v>
      </s:c>
      <s:c r="D6" s="6">
        <s:f>'Revenue forecast'!C6*(1+'Revenue forecast'!D5)</s:f>
        <s:v>5624.320000000001</s:v>
      </s:c>
      <s:c r="E6" s="6">
        <s:f>'Revenue forecast'!D6*(1+'Revenue forecast'!E5)</s:f>
        <s:v>5849.292800000001</s:v>
      </s:c>
      <s:c r="F6" s="6">
        <s:f>'Revenue forecast'!E6*(1+'Revenue forecast'!F5)</s:f>
        <s:v>6083.264512000002</s:v>
      </s:c>
      <s:c r="G6" s="6">
        <s:f>'Revenue forecast'!F6*(1+'Revenue forecast'!G5)</s:f>
        <s:v>6204.929802240002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6"/>
  <s:pageMargins left="0.75" right="0.75" top="1" bottom="1" header="0.5" footer="0.5"/>
</s:worksheet>
</file>

<file path=xl/worksheets/sheet5.xml><?xml version="1.0" encoding="utf-8"?>
<s:worksheet xmlns:s="http://schemas.openxmlformats.org/spreadsheetml/2006/main">
  <s:sheetPr>
    <s:outlinePr summaryBelow="1" summaryRight="1"/>
    <s:pageSetUpPr/>
  </s:sheetPr>
  <s:dimension ref="A1:G8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Operating forecast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EBITDA</s:t>
        </s:is>
      </s:c>
      <s:c r="B5" s="6">
        <s:f>'Revenue forecast'!B6*IF('Assumptions'!B5=0,'Assumptions'!B7,'Assumptions'!B20)</s:f>
        <s:v>832.0</s:v>
      </s:c>
      <s:c r="C5" s="6">
        <s:f>'Revenue forecast'!C6*IF('Assumptions'!B5=0,'Assumptions'!B7,'Assumptions'!B20)</s:f>
        <s:v>865.28</s:v>
      </s:c>
      <s:c r="D5" s="6">
        <s:f>'Revenue forecast'!D6*IF('Assumptions'!B5=0,'Assumptions'!B7,'Assumptions'!B20)</s:f>
        <s:v>899.8912000000001</s:v>
      </s:c>
      <s:c r="E5" s="6">
        <s:f>'Revenue forecast'!E6*IF('Assumptions'!B5=0,'Assumptions'!B7,'Assumptions'!B20)</s:f>
        <s:v>935.8868480000002</s:v>
      </s:c>
      <s:c r="F5" s="6">
        <s:f>'Revenue forecast'!F6*IF('Assumptions'!B5=0,'Assumptions'!B7,'Assumptions'!B20)</s:f>
        <s:v>973.3223219200003</s:v>
      </s:c>
      <s:c r="G5" s="6">
        <s:f>'Revenue forecast'!G6*IF('Assumptions'!B5=0,'Assumptions'!B7,'Assumptions'!B20)</s:f>
        <s:v>992.7887683584003</s:v>
      </s:c>
    </s:row>
    <s:row r="6">
      <s:c r="A6" t="inlineStr">
        <s:is>
          <s:t>D&amp;A</s:t>
        </s:is>
      </s:c>
      <s:c r="B6" s="6">
        <s:f>'Revenue forecast'!B6*'Assumptions'!B8</s:f>
        <s:v>104.0</s:v>
      </s:c>
      <s:c r="C6" s="6">
        <s:f>'Revenue forecast'!C6*'Assumptions'!B8</s:f>
        <s:v>108.16</s:v>
      </s:c>
      <s:c r="D6" s="6">
        <s:f>'Revenue forecast'!D6*'Assumptions'!B8</s:f>
        <s:v>112.48640000000002</s:v>
      </s:c>
      <s:c r="E6" s="6">
        <s:f>'Revenue forecast'!E6*'Assumptions'!B8</s:f>
        <s:v>116.98585600000003</s:v>
      </s:c>
      <s:c r="F6" s="6">
        <s:f>'Revenue forecast'!F6*'Assumptions'!B8</s:f>
        <s:v>121.66529024000003</s:v>
      </s:c>
      <s:c r="G6" s="6">
        <s:f>'Revenue forecast'!G6*'Assumptions'!B8</s:f>
        <s:v>124.09859604480003</s:v>
      </s:c>
    </s:row>
    <s:row r="7">
      <s:c r="A7" t="inlineStr">
        <s:is>
          <s:t>EBIT</s:t>
        </s:is>
      </s:c>
      <s:c r="B7" s="6">
        <s:f>'Operating forecast'!B5-'Operating forecast'!B6</s:f>
        <s:v>728.0</s:v>
      </s:c>
      <s:c r="C7" s="6">
        <s:f>'Operating forecast'!C5-'Operating forecast'!C6</s:f>
        <s:v>757.12</s:v>
      </s:c>
      <s:c r="D7" s="6">
        <s:f>'Operating forecast'!D5-'Operating forecast'!D6</s:f>
        <s:v>787.4048000000001</s:v>
      </s:c>
      <s:c r="E7" s="6">
        <s:f>'Operating forecast'!E5-'Operating forecast'!E6</s:f>
        <s:v>818.9009920000002</s:v>
      </s:c>
      <s:c r="F7" s="6">
        <s:f>'Operating forecast'!F5-'Operating forecast'!F6</s:f>
        <s:v>851.6570316800003</s:v>
      </s:c>
      <s:c r="G7" s="6">
        <s:f>'Operating forecast'!G5-'Operating forecast'!G6</s:f>
        <s:v>868.6901723136002</s:v>
      </s:c>
    </s:row>
    <s:row r="8">
      <s:c r="A8" t="inlineStr">
        <s:is>
          <s:t>Operating taxes</s:t>
        </s:is>
      </s:c>
      <s:c r="B8" s="6">
        <s:f>MAX(0,'Operating forecast'!B7*'Assumptions'!B13)</s:f>
        <s:v>182.0</s:v>
      </s:c>
      <s:c r="C8" s="6">
        <s:f>MAX(0,'Operating forecast'!C7*'Assumptions'!B13)</s:f>
        <s:v>189.28</s:v>
      </s:c>
      <s:c r="D8" s="6">
        <s:f>MAX(0,'Operating forecast'!D7*'Assumptions'!B13)</s:f>
        <s:v>196.85120000000003</s:v>
      </s:c>
      <s:c r="E8" s="6">
        <s:f>MAX(0,'Operating forecast'!E7*'Assumptions'!B13)</s:f>
        <s:v>204.72524800000005</s:v>
      </s:c>
      <s:c r="F8" s="6">
        <s:f>MAX(0,'Operating forecast'!F7*'Assumptions'!B13)</s:f>
        <s:v>212.91425792000007</s:v>
      </s:c>
      <s:c r="G8" s="6">
        <s:f>MAX(0,'Operating forecast'!G7*'Assumptions'!B13)</s:f>
        <s:v>217.17254307840005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8"/>
  <s:pageMargins left="0.75" right="0.75" top="1" bottom="1" header="0.5" footer="0.5"/>
</s:worksheet>
</file>

<file path=xl/worksheets/sheet6.xml><?xml version="1.0" encoding="utf-8"?>
<s:worksheet xmlns:s="http://schemas.openxmlformats.org/spreadsheetml/2006/main">
  <s:sheetPr>
    <s:outlinePr summaryBelow="1" summaryRight="1"/>
    <s:pageSetUpPr/>
  </s:sheetPr>
  <s:dimension ref="A1:G6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Working capital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Ending NWC</s:t>
        </s:is>
      </s:c>
      <s:c r="B5" s="6">
        <s:f>'Revenue forecast'!B6*IF('Assumptions'!B5=0,'Assumptions'!B10,'Assumptions'!B22)</s:f>
        <s:v>468.0</s:v>
      </s:c>
      <s:c r="C5" s="6">
        <s:f>'Revenue forecast'!C6*IF('Assumptions'!B5=0,'Assumptions'!B10,'Assumptions'!B22)</s:f>
        <s:v>486.71999999999997</s:v>
      </s:c>
      <s:c r="D5" s="6">
        <s:f>'Revenue forecast'!D6*IF('Assumptions'!B5=0,'Assumptions'!B10,'Assumptions'!B22)</s:f>
        <s:v>506.1888</s:v>
      </s:c>
      <s:c r="E5" s="6">
        <s:f>'Revenue forecast'!E6*IF('Assumptions'!B5=0,'Assumptions'!B10,'Assumptions'!B22)</s:f>
        <s:v>526.436352</s:v>
      </s:c>
      <s:c r="F5" s="6">
        <s:f>'Revenue forecast'!F6*IF('Assumptions'!B5=0,'Assumptions'!B10,'Assumptions'!B22)</s:f>
        <s:v>547.4938060800001</s:v>
      </s:c>
      <s:c r="G5" s="6">
        <s:f>'Revenue forecast'!G6*IF('Assumptions'!B5=0,'Assumptions'!B10,'Assumptions'!B22)</s:f>
        <s:v>558.4436822016002</s:v>
      </s:c>
    </s:row>
    <s:row r="6">
      <s:c r="A6" t="inlineStr">
        <s:is>
          <s:t>Cash NWC investment</s:t>
        </s:is>
      </s:c>
      <s:c r="B6" s="6">
        <s:f>'Working capital'!B5-'Assumptions'!B11</s:f>
        <s:v>18.0</s:v>
      </s:c>
      <s:c r="C6" s="6">
        <s:f>'Working capital'!C5-'Working capital'!B5</s:f>
        <s:v>18.71999999999997</s:v>
      </s:c>
      <s:c r="D6" s="6">
        <s:f>'Working capital'!D5-'Working capital'!C5</s:f>
        <s:v>19.468800000000044</s:v>
      </s:c>
      <s:c r="E6" s="6">
        <s:f>'Working capital'!E5-'Working capital'!D5</s:f>
        <s:v>20.24755200000004</s:v>
      </s:c>
      <s:c r="F6" s="6">
        <s:f>'Working capital'!F5-'Working capital'!E5</s:f>
        <s:v>21.05745408000007</s:v>
      </s:c>
      <s:c r="G6" s="6">
        <s:f>'Working capital'!G5-'Working capital'!F5</s:f>
        <s:v>10.949876121600028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6"/>
  <s:pageMargins left="0.75" right="0.75" top="1" bottom="1" header="0.5" footer="0.5"/>
</s:worksheet>
</file>

<file path=xl/worksheets/sheet7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Capital expenditures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Cash CapEx</s:t>
        </s:is>
      </s:c>
      <s:c r="B5" s="6">
        <s:f>'Revenue forecast'!B6*IF('Assumptions'!B5=0,'Assumptions'!B9,'Assumptions'!B21)</s:f>
        <s:v>124.8</s:v>
      </s:c>
      <s:c r="C5" s="6">
        <s:f>'Revenue forecast'!C6*IF('Assumptions'!B5=0,'Assumptions'!B9,'Assumptions'!B21)</s:f>
        <s:v>129.792</s:v>
      </s:c>
      <s:c r="D5" s="6">
        <s:f>'Revenue forecast'!D6*IF('Assumptions'!B5=0,'Assumptions'!B9,'Assumptions'!B21)</s:f>
        <s:v>134.98368000000002</s:v>
      </s:c>
      <s:c r="E5" s="6">
        <s:f>'Revenue forecast'!E6*IF('Assumptions'!B5=0,'Assumptions'!B9,'Assumptions'!B21)</s:f>
        <s:v>140.38302720000002</s:v>
      </s:c>
      <s:c r="F5" s="6">
        <s:f>'Revenue forecast'!F6*IF('Assumptions'!B5=0,'Assumptions'!B9,'Assumptions'!B21)</s:f>
        <s:v>145.99834828800005</s:v>
      </s:c>
      <s:c r="G5" s="6">
        <s:f>'Revenue forecast'!G6*IF('Assumptions'!B5=0,'Assumptions'!B9,'Assumptions'!B21)</s:f>
        <s:v>148.91831525376006</s:v>
      </s:c>
    </s:row>
    <s:row r="6">
      <s:c r="A6" t="inlineStr">
        <s:is>
          <s:t>Net investment</s:t>
        </s:is>
      </s:c>
      <s:c r="B6" s="6">
        <s:f>'Capital expenditures'!B5-'Operating forecast'!B6</s:f>
        <s:v>20.799999999999997</s:v>
      </s:c>
      <s:c r="C6" s="6">
        <s:f>'Capital expenditures'!C5-'Operating forecast'!C6</s:f>
        <s:v>21.632000000000005</s:v>
      </s:c>
      <s:c r="D6" s="6">
        <s:f>'Capital expenditures'!D5-'Operating forecast'!D6</s:f>
        <s:v>22.497280000000003</s:v>
      </s:c>
      <s:c r="E6" s="6">
        <s:f>'Capital expenditures'!E5-'Operating forecast'!E6</s:f>
        <s:v>23.39717119999999</s:v>
      </s:c>
      <s:c r="F6" s="6">
        <s:f>'Capital expenditures'!F5-'Operating forecast'!F6</s:f>
        <s:v>24.333058048000012</s:v>
      </s:c>
      <s:c r="G6" s="6">
        <s:f>'Capital expenditures'!G5-'Operating forecast'!G6</s:f>
        <s:v>24.819719208960024</s:v>
      </s:c>
    </s:row>
    <s:row r="7">
      <s:c r="A7" t="inlineStr">
        <s:is>
          <s:t>Reinvestment note</s:t>
        </s:is>
      </s:c>
      <s:c r="B7" s="3" t="inlineStr">
        <s:is>
          <s:t>Both maintenance and growth spending are cash uses; no opening PP&amp;E supplied in Harbor packet.</s:t>
        </s:is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8.xml><?xml version="1.0" encoding="utf-8"?>
<s:worksheet xmlns:s="http://schemas.openxmlformats.org/spreadsheetml/2006/main">
  <s:sheetPr>
    <s:outlinePr summaryBelow="1" summaryRight="1"/>
    <s:pageSetUpPr/>
  </s:sheetPr>
  <s:dimension ref="A1:G5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Unlevered free cash flow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UFCF</s:t>
        </s:is>
      </s:c>
      <s:c r="B5" s="6">
        <s:f>'Operating forecast'!B7-'Operating forecast'!B8+'Operating forecast'!B6-'Capital expenditures'!B5-'Working capital'!B6</s:f>
        <s:v>507.20000000000005</s:v>
      </s:c>
      <s:c r="C5" s="6">
        <s:f>'Operating forecast'!C7-'Operating forecast'!C8+'Operating forecast'!C6-'Capital expenditures'!C5-'Working capital'!C6</s:f>
        <s:v>527.488</s:v>
      </s:c>
      <s:c r="D5" s="6">
        <s:f>'Operating forecast'!D7-'Operating forecast'!D8+'Operating forecast'!D6-'Capital expenditures'!D5-'Working capital'!D6</s:f>
        <s:v>548.58752</s:v>
      </s:c>
      <s:c r="E5" s="6">
        <s:f>'Operating forecast'!E7-'Operating forecast'!E8+'Operating forecast'!E6-'Capital expenditures'!E5-'Working capital'!E6</s:f>
        <s:v>570.5310208000001</s:v>
      </s:c>
      <s:c r="F5" s="6">
        <s:f>'Operating forecast'!F7-'Operating forecast'!F8+'Operating forecast'!F6-'Capital expenditures'!F5-'Working capital'!F6</s:f>
        <s:v>593.3522616320001</s:v>
      </s:c>
      <s:c r="G5" s="6">
        <s:f>'Operating forecast'!G7-'Operating forecast'!G8+'Operating forecast'!G6-'Capital expenditures'!G5-'Working capital'!G6</s:f>
        <s:v>615.7480339046401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5"/>
  <s:pageMargins left="0.75" right="0.75" top="1" bottom="1" header="0.5" footer="0.5"/>
</s:worksheet>
</file>

<file path=xl/worksheets/sheet9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WACC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Debt weight</s:t>
        </s:is>
      </s:c>
      <s:c r="B5" s="7">
        <s:f>1-'Assumptions'!B23</s:f>
        <s:v>0.30000000000000004</s:v>
      </s:c>
    </s:row>
    <s:row r="6">
      <s:c r="A6" t="inlineStr">
        <s:is>
          <s:t>Illustrative WACC</s:t>
        </s:is>
      </s:c>
      <s:c r="B6" s="7">
        <s:f>'Assumptions'!B23*'Assumptions'!B24+'WACC'!B5*'Assumptions'!B25*(1-'Assumptions'!B13)</s:f>
        <s:v>0.1905</s:v>
      </s:c>
    </s:row>
    <s:row r="7">
      <s:c r="A7" t="inlineStr">
        <s:is>
          <s:t>Case valuation rate</s:t>
        </s:is>
      </s:c>
      <s:c r="B7" s="7">
        <s:f>'Assumptions'!B14</s:f>
        <s:v>0.2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0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Terminal value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Terminal UFCF</s:t>
        </s:is>
      </s:c>
      <s:c r="B5" s="6">
        <s:f>'Unlevered free cash flow'!G5</s:f>
        <s:v>615.7480339046401</s:v>
      </s:c>
    </s:row>
    <s:row r="6">
      <s:c r="A6" t="inlineStr">
        <s:is>
          <s:t>Growth spread</s:t>
        </s:is>
      </s:c>
      <s:c r="B6" s="7">
        <s:f>'Assumptions'!B14-'Assumptions'!B15</s:f>
        <s:v>0.18000000000000002</s:v>
      </s:c>
    </s:row>
    <s:row r="7">
      <s:c r="A7" t="inlineStr">
        <s:is>
          <s:t>Year 5 terminal value</s:t>
        </s:is>
      </s:c>
      <s:c r="B7" s="6">
        <s:f>'Terminal value'!B5/'Terminal value'!B6</s:f>
        <s:v>3420.8224105813338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1.xml><?xml version="1.0" encoding="utf-8"?>
<s:worksheet xmlns:s="http://schemas.openxmlformats.org/spreadsheetml/2006/main">
  <s:sheetPr>
    <s:outlinePr summaryBelow="1" summaryRight="1"/>
    <s:pageSetUpPr/>
  </s:sheetPr>
  <s:dimension ref="A1:G9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DCF valuation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Discount periods</s:t>
        </s:is>
      </s:c>
      <s:c r="B5" s="4" t="n">
        <s:v>1</s:v>
      </s:c>
      <s:c r="C5" s="4" t="n">
        <s:v>2</s:v>
      </s:c>
      <s:c r="D5" s="4" t="n">
        <s:v>3</s:v>
      </s:c>
      <s:c r="E5" s="4" t="n">
        <s:v>4</s:v>
      </s:c>
      <s:c r="F5" s="4" t="n">
        <s:v>5</s:v>
      </s:c>
    </s:row>
    <s:row r="6">
      <s:c r="A6" t="inlineStr">
        <s:is>
          <s:t>Cash PV</s:t>
        </s:is>
      </s:c>
      <s:c r="B6" s="6">
        <s:f>'Unlevered free cash flow'!B5/(1+'Assumptions'!B14)^'DCF valuation'!B5</s:f>
        <s:v>422.66666666666674</s:v>
      </s:c>
      <s:c r="C6" s="6">
        <s:f>'Unlevered free cash flow'!C5/(1+'Assumptions'!B14)^'DCF valuation'!C5</s:f>
        <s:v>366.3111111111112</s:v>
      </s:c>
      <s:c r="D6" s="6">
        <s:f>'Unlevered free cash flow'!D5/(1+'Assumptions'!B14)^'DCF valuation'!D5</s:f>
        <s:v>317.4696296296297</s:v>
      </s:c>
      <s:c r="E6" s="6">
        <s:f>'Unlevered free cash flow'!E5/(1+'Assumptions'!B14)^'DCF valuation'!E5</s:f>
        <s:v>275.1403456790124</s:v>
      </s:c>
      <s:c r="F6" s="6">
        <s:f>'Unlevered free cash flow'!F5/(1+'Assumptions'!B14)^'DCF valuation'!F5</s:f>
        <s:v>238.45496625514414</s:v>
      </s:c>
    </s:row>
    <s:row r="7">
      <s:c r="A7" t="inlineStr">
        <s:is>
          <s:t>Explicit PV</s:t>
        </s:is>
      </s:c>
      <s:c r="B7" s="6">
        <s:f>SUM(B6:F6)</s:f>
        <s:v>1620.0427193415642</s:v>
      </s:c>
    </s:row>
    <s:row r="8">
      <s:c r="A8" t="inlineStr">
        <s:is>
          <s:t>Terminal PV</s:t>
        </s:is>
      </s:c>
      <s:c r="B8" s="6">
        <s:f>'Terminal value'!B7/(1+'Assumptions'!B14)^5</s:f>
        <s:v>1374.7518046639236</s:v>
      </s:c>
    </s:row>
    <s:row r="9">
      <s:c r="A9" t="inlineStr">
        <s:is>
          <s:t>Enterprise value</s:t>
        </s:is>
      </s:c>
      <s:c r="B9" s="6">
        <s:f>'DCF valuation'!B7+'DCF valuation'!B8</s:f>
        <s:v>2994.794524005488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9"/>
  <s:pageMargins left="0.75" right="0.75" top="1" bottom="1" header="0.5" footer="0.5"/>
</s:worksheet>
</file>

<file path=xl/worksheets/sheet12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Sensitivity analysis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g=0%; columns r=18%,20%,22%</s:t>
        </s:is>
      </s:c>
      <s:c r="B5" s="6">
        <s:f>'Unlevered free cash flow'!B5/(1+0.18)^1+'Unlevered free cash flow'!C5/(1+0.18)^2+'Unlevered free cash flow'!D5/(1+0.18)^3+'Unlevered free cash flow'!E5/(1+0.18)^4+'Unlevered free cash flow'!F5/(1+0.18)^5+('Revenue forecast'!F6*(1+0)*((IF('Assumptions'!B5=0,'Assumptions'!B7,'Assumptions'!B20)-'Assumptions'!B8)*(1-'Assumptions'!B13)+'Assumptions'!B8-IF('Assumptions'!B5=0,'Assumptions'!B9,'Assumptions'!B21))-'Revenue forecast'!F6*0*IF('Assumptions'!B5=0,'Assumptions'!B10,'Assumptions'!B22))/(0.18-0)/(1+0.18)^5</s:f>
        <s:v>3188.207825038862</s:v>
      </s:c>
      <s:c r="C5" s="6">
        <s:f>'Unlevered free cash flow'!B5/(1+0.2)^1+'Unlevered free cash flow'!C5/(1+0.2)^2+'Unlevered free cash flow'!D5/(1+0.2)^3+'Unlevered free cash flow'!E5/(1+0.2)^4+'Unlevered free cash flow'!F5/(1+0.2)^5+('Revenue forecast'!F6*(1+0)*((IF('Assumptions'!B5=0,'Assumptions'!B7,'Assumptions'!B20)-'Assumptions'!B8)*(1-'Assumptions'!B13)+'Assumptions'!B8-IF('Assumptions'!B5=0,'Assumptions'!B9,'Assumptions'!B21))-'Revenue forecast'!F6*0*IF('Assumptions'!B5=0,'Assumptions'!B10,'Assumptions'!B22))/(0.2-0)/(1+0.2)^5</s:f>
        <s:v>2854.6301432098776</s:v>
      </s:c>
      <s:c r="D5" s="6">
        <s:f>'Unlevered free cash flow'!B5/(1+0.22)^1+'Unlevered free cash flow'!C5/(1+0.22)^2+'Unlevered free cash flow'!D5/(1+0.22)^3+'Unlevered free cash flow'!E5/(1+0.22)^4+'Unlevered free cash flow'!F5/(1+0.22)^5+('Revenue forecast'!F6*(1+0)*((IF('Assumptions'!B5=0,'Assumptions'!B7,'Assumptions'!B20)-'Assumptions'!B8)*(1-'Assumptions'!B13)+'Assumptions'!B8-IF('Assumptions'!B5=0,'Assumptions'!B9,'Assumptions'!B21))-'Revenue forecast'!F6*0*IF('Assumptions'!B5=0,'Assumptions'!B10,'Assumptions'!B22))/(0.22-0)/(1+0.22)^5</s:f>
        <s:v>2582.6484044885087</s:v>
      </s:c>
    </s:row>
    <s:row r="6">
      <s:c r="A6" t="inlineStr">
        <s:is>
          <s:t>g=1%; columns r=18%,20%,22%</s:t>
        </s:is>
      </s:c>
      <s:c r="B6" s="6">
        <s:f>'Unlevered free cash flow'!B5/(1+0.18)^1+'Unlevered free cash flow'!C5/(1+0.18)^2+'Unlevered free cash flow'!D5/(1+0.18)^3+'Unlevered free cash flow'!E5/(1+0.18)^4+'Unlevered free cash flow'!F5/(1+0.18)^5+('Revenue forecast'!F6*(1+0.01)*((IF('Assumptions'!B5=0,'Assumptions'!B7,'Assumptions'!B20)-'Assumptions'!B8)*(1-'Assumptions'!B13)+'Assumptions'!B8-IF('Assumptions'!B5=0,'Assumptions'!B9,'Assumptions'!B21))-'Revenue forecast'!F6*0.01*IF('Assumptions'!B5=0,'Assumptions'!B10,'Assumptions'!B22))/(0.18-0.01)/(1+0.18)^5</s:f>
        <s:v>3277.694449295567</s:v>
      </s:c>
      <s:c r="C6" s="6">
        <s:f>'Unlevered free cash flow'!B5/(1+0.2)^1+'Unlevered free cash flow'!C5/(1+0.2)^2+'Unlevered free cash flow'!D5/(1+0.2)^3+'Unlevered free cash flow'!E5/(1+0.2)^4+'Unlevered free cash flow'!F5/(1+0.2)^5+('Revenue forecast'!F6*(1+0.01)*((IF('Assumptions'!B5=0,'Assumptions'!B7,'Assumptions'!B20)-'Assumptions'!B8)*(1-'Assumptions'!B13)+'Assumptions'!B8-IF('Assumptions'!B5=0,'Assumptions'!B9,'Assumptions'!B21))-'Revenue forecast'!F6*0.01*IF('Assumptions'!B5=0,'Assumptions'!B10,'Assumptions'!B22))/(0.2-0.01)/(1+0.2)^5</s:f>
        <s:v>2921.0237972709565</s:v>
      </s:c>
      <s:c r="D6" s="6">
        <s:f>'Unlevered free cash flow'!B5/(1+0.22)^1+'Unlevered free cash flow'!C5/(1+0.22)^2+'Unlevered free cash flow'!D5/(1+0.22)^3+'Unlevered free cash flow'!E5/(1+0.22)^4+'Unlevered free cash flow'!F5/(1+0.22)^5+('Revenue forecast'!F6*(1+0.01)*((IF('Assumptions'!B5=0,'Assumptions'!B7,'Assumptions'!B20)-'Assumptions'!B8)*(1-'Assumptions'!B13)+'Assumptions'!B8-IF('Assumptions'!B5=0,'Assumptions'!B9,'Assumptions'!B21))-'Revenue forecast'!F6*0.01*IF('Assumptions'!B5=0,'Assumptions'!B10,'Assumptions'!B22))/(0.22-0.01)/(1+0.22)^5</s:f>
        <s:v>2633.033270193352</s:v>
      </s:c>
    </s:row>
    <s:row r="7">
      <s:c r="A7" t="inlineStr">
        <s:is>
          <s:t>g=2%; columns r=18%,20%,22%</s:t>
        </s:is>
      </s:c>
      <s:c r="B7" s="6">
        <s:f>'Unlevered free cash flow'!B5/(1+0.18)^1+'Unlevered free cash flow'!C5/(1+0.18)^2+'Unlevered free cash flow'!D5/(1+0.18)^3+'Unlevered free cash flow'!E5/(1+0.18)^4+'Unlevered free cash flow'!F5/(1+0.18)^5+('Revenue forecast'!F6*(1+0.02)*((IF('Assumptions'!B5=0,'Assumptions'!B7,'Assumptions'!B20)-'Assumptions'!B8)*(1-'Assumptions'!B13)+'Assumptions'!B8-IF('Assumptions'!B5=0,'Assumptions'!B9,'Assumptions'!B21))-'Revenue forecast'!F6*0.02*IF('Assumptions'!B5=0,'Assumptions'!B10,'Assumptions'!B22))/(0.18-0.02)/(1+0.18)^5</s:f>
        <s:v>3378.36690158436</s:v>
      </s:c>
      <s:c r="C7" s="6">
        <s:f>'Unlevered free cash flow'!B5/(1+0.2)^1+'Unlevered free cash flow'!C5/(1+0.2)^2+'Unlevered free cash flow'!D5/(1+0.2)^3+'Unlevered free cash flow'!E5/(1+0.2)^4+'Unlevered free cash flow'!F5/(1+0.2)^5+('Revenue forecast'!F6*(1+0.02)*((IF('Assumptions'!B5=0,'Assumptions'!B7,'Assumptions'!B20)-'Assumptions'!B8)*(1-'Assumptions'!B13)+'Assumptions'!B8-IF('Assumptions'!B5=0,'Assumptions'!B9,'Assumptions'!B21))-'Revenue forecast'!F6*0.02*IF('Assumptions'!B5=0,'Assumptions'!B10,'Assumptions'!B22))/(0.2-0.02)/(1+0.2)^5</s:f>
        <s:v>2994.794524005488</s:v>
      </s:c>
      <s:c r="D7" s="6">
        <s:f>'Unlevered free cash flow'!B5/(1+0.22)^1+'Unlevered free cash flow'!C5/(1+0.22)^2+'Unlevered free cash flow'!D5/(1+0.22)^3+'Unlevered free cash flow'!E5/(1+0.22)^4+'Unlevered free cash flow'!F5/(1+0.22)^5+('Revenue forecast'!F6*(1+0.02)*((IF('Assumptions'!B5=0,'Assumptions'!B7,'Assumptions'!B20)-'Assumptions'!B8)*(1-'Assumptions'!B13)+'Assumptions'!B8-IF('Assumptions'!B5=0,'Assumptions'!B9,'Assumptions'!B21))-'Revenue forecast'!F6*0.02*IF('Assumptions'!B5=0,'Assumptions'!B10,'Assumptions'!B22))/(0.22-0.02)/(1+0.22)^5</s:f>
        <s:v>2688.45662246868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3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Enterprise-to-equity bridge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EV</s:t>
        </s:is>
      </s:c>
      <s:c r="B5" s="6">
        <s:f>'DCF valuation'!B9</s:f>
        <s:v>2994.794524005488</s:v>
      </s:c>
    </s:row>
    <s:row r="6">
      <s:c r="A6" t="inlineStr">
        <s:is>
          <s:t>Equity</s:t>
        </s:is>
      </s:c>
      <s:c r="B6" s="6">
        <s:f>'DCF valuation'!B9+'Assumptions'!B16-'Assumptions'!B17</s:f>
        <s:v>2544.794524005488</s:v>
      </s:c>
    </s:row>
    <s:row r="7">
      <s:c r="A7" t="inlineStr">
        <s:is>
          <s:t>Ask less EV</s:t>
        </s:is>
      </s:c>
      <s:c r="B7" s="6">
        <s:f>'Assumptions'!B18-'DCF valuation'!B9</s:f>
        <s:v>205.2054759945122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pageMargins left="0.75" right="0.75" top="1" bottom="1" header="0.5" footer="0.5"/>
</s:worksheet>
</file>

<file path=xl/worksheets/sheet14.xml><?xml version="1.0" encoding="utf-8"?>
<s:worksheet xmlns:s="http://schemas.openxmlformats.org/spreadsheetml/2006/main">
  <s:sheetPr>
    <s:outlinePr summaryBelow="1" summaryRight="1"/>
    <s:pageSetUpPr/>
  </s:sheetPr>
  <s:dimension ref="A1:G7"/>
  <s:sheetViews>
    <s:sheetView workbookViewId="0">
      <s:pane xSplit="1" ySplit="4" topLeftCell="B5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48" customWidth="1" min="1" max="1"/>
    <s:col width="21" customWidth="1" min="2" max="2"/>
    <s:col width="21" customWidth="1" min="3" max="3"/>
    <s:col width="21" customWidth="1" min="4" max="4"/>
    <s:col width="21" customWidth="1" min="5" max="5"/>
    <s:col width="21" customWidth="1" min="6" max="6"/>
    <s:col width="21" customWidth="1" min="7" max="7"/>
    <s:col width="21" customWidth="1" min="8" max="8"/>
  </s:cols>
  <s:sheetData>
    <s:row r="1">
      <s:c r="A1" s="1" t="inlineStr">
        <s:is>
          <s:t>Model checks</s:t>
        </s:is>
      </s:c>
      <s:c r="B1" s="1" t="n"/>
      <s:c r="C1" s="1" t="n"/>
      <s:c r="D1" s="1" t="n"/>
      <s:c r="E1" s="1" t="n"/>
      <s:c r="F1" s="1" t="n"/>
      <s:c r="G1" s="1" t="n"/>
    </s:row>
    <s:row r="2">
      <s:c r="A2" t="inlineStr">
        <s:is>
          <s:t>Units</s:t>
        </s:is>
      </s:c>
      <s:c r="B2" t="inlineStr">
        <s:is>
          <s:t>$000</s:t>
        </s:is>
      </s:c>
    </s:row>
    <s:row r="3">
      <s:c r="A3" t="inlineStr">
        <s:is>
          <s:t>Period/date</s:t>
        </s:is>
      </s:c>
      <s:c r="B3" t="inlineStr">
        <s:is>
          <s:t>2026-11-05 / annual unless monthly labeled</s:t>
        </s:is>
      </s:c>
    </s:row>
    <s:row r="4">
      <s:c r="A4" s="2" t="inlineStr">
        <s:is>
          <s:t>Metric</s:t>
        </s:is>
      </s:c>
      <s:c r="B4" s="2" t="inlineStr">
        <s:is>
          <s:t>Value / Year 1</s:t>
        </s:is>
      </s:c>
      <s:c r="C4" s="2" t="inlineStr">
        <s:is>
          <s:t>Year 2</s:t>
        </s:is>
      </s:c>
      <s:c r="D4" s="2" t="inlineStr">
        <s:is>
          <s:t>Year 3</s:t>
        </s:is>
      </s:c>
      <s:c r="E4" s="2" t="inlineStr">
        <s:is>
          <s:t>Year 4</s:t>
        </s:is>
      </s:c>
      <s:c r="F4" s="2" t="inlineStr">
        <s:is>
          <s:t>Year 5</s:t>
        </s:is>
      </s:c>
      <s:c r="G4" s="2" t="inlineStr">
        <s:is>
          <s:t>Terminal year</s:t>
        </s:is>
      </s:c>
    </s:row>
    <s:row r="5">
      <s:c r="A5" t="inlineStr">
        <s:is>
          <s:t>UFCF reconciliation</s:t>
        </s:is>
      </s:c>
      <s:c r="B5" s="6">
        <s:f>'Unlevered free cash flow'!B5-('Operating forecast'!B7-'Operating forecast'!B8+'Operating forecast'!B6-'Capital expenditures'!B5-'Working capital'!B6)</s:f>
        <s:v>0.0</s:v>
      </s:c>
    </s:row>
    <s:row r="6">
      <s:c r="A6" t="inlineStr">
        <s:is>
          <s:t>Terminal spread valid</s:t>
        </s:is>
      </s:c>
      <s:c r="B6" s="6">
        <s:f>IF('Terminal value'!B6&gt;0,0,1)</s:f>
        <s:v>0.0</s:v>
      </s:c>
    </s:row>
    <s:row r="7">
      <s:c r="A7" t="inlineStr">
        <s:is>
          <s:t>Weight check</s:t>
        </s:is>
      </s:c>
      <s:c r="B7" s="6">
        <s:f>'Assumptions'!B23+'WACC'!B5-1</s:f>
        <s:v>0.0</s:v>
      </s:c>
    </s:row>
  </s:sheetData>
  <s:sheetProtection selectLockedCells="0" selectUnlockedCells="0" sheet="1" objects="0" insertRows="1" insertHyperlinks="1" autoFilter="1" scenarios="0" formatColumns="1" deleteColumns="1" insertColumns="1" pivotTables="1" deleteRows="1" formatCells="1" formatRows="1" sort="1"/>
  <s:autoFilter ref="A4:G7"/>
  <s:conditionalFormatting sqref="B5:H7">
    <s:cfRule type="cellIs" priority="1" operator="notBetween" dxfId="0">
      <s:formula>-0.000001</s:formula>
      <s:formula>0.000001</s:formula>
    </s:cfRule>
  </s:conditionalFormatting>
  <s:pageMargins left="0.75" right="0.75" top="1" bottom="1" header="0.5" footer="0.5"/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2026-11-05T21:00:19Z</dcterms:created>
  <dcterms:modified xsi:type="dcterms:W3CDTF">2026-11-05T21:00:19Z</dcterms:modified>
</cp:coreProperties>
</file>